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65" windowWidth="20730" windowHeight="11760" firstSheet="6" activeTab="7"/>
  </bookViews>
  <sheets>
    <sheet name="Januari" sheetId="18" r:id="rId1"/>
    <sheet name="Februari" sheetId="26" r:id="rId2"/>
    <sheet name="Maret" sheetId="28" r:id="rId3"/>
    <sheet name="April" sheetId="30" r:id="rId4"/>
    <sheet name="Mei" sheetId="32" r:id="rId5"/>
    <sheet name="Juni" sheetId="34" r:id="rId6"/>
    <sheet name="Juli" sheetId="36" r:id="rId7"/>
    <sheet name="Agustus" sheetId="38" r:id="rId8"/>
    <sheet name="Januari DAK" sheetId="25" r:id="rId9"/>
    <sheet name="Februari DAK" sheetId="27" r:id="rId10"/>
    <sheet name="Maret DAK" sheetId="29" r:id="rId11"/>
    <sheet name="April DAK" sheetId="31" r:id="rId12"/>
    <sheet name="Mei DAK" sheetId="33" r:id="rId13"/>
    <sheet name="Juni DAK" sheetId="35" r:id="rId14"/>
    <sheet name="Juli DAK" sheetId="37" r:id="rId15"/>
    <sheet name="Agustus DAK" sheetId="39" r:id="rId16"/>
  </sheets>
  <definedNames>
    <definedName name="_xlnm.Print_Area" localSheetId="7">Agustus!$A$1:$P$130</definedName>
    <definedName name="_xlnm.Print_Area" localSheetId="15">'Agustus DAK'!$A$1:$P$44</definedName>
    <definedName name="_xlnm.Print_Area" localSheetId="3">April!$A$1:$P$130</definedName>
    <definedName name="_xlnm.Print_Area" localSheetId="11">'April DAK'!$A$1:$P$44</definedName>
    <definedName name="_xlnm.Print_Area" localSheetId="1">Februari!$A$1:$P$130</definedName>
    <definedName name="_xlnm.Print_Area" localSheetId="9">'Februari DAK'!$A$1:$P$44</definedName>
    <definedName name="_xlnm.Print_Area" localSheetId="0">Januari!$A$1:$P$130</definedName>
    <definedName name="_xlnm.Print_Area" localSheetId="8">'Januari DAK'!$A$1:$P$44</definedName>
    <definedName name="_xlnm.Print_Area" localSheetId="6">Juli!$A$1:$P$130</definedName>
    <definedName name="_xlnm.Print_Area" localSheetId="14">'Juli DAK'!$A$1:$P$44</definedName>
    <definedName name="_xlnm.Print_Area" localSheetId="5">Juni!$A$1:$P$130</definedName>
    <definedName name="_xlnm.Print_Area" localSheetId="13">'Juni DAK'!$A$1:$P$44</definedName>
    <definedName name="_xlnm.Print_Area" localSheetId="2">Maret!$A$1:$P$130</definedName>
    <definedName name="_xlnm.Print_Area" localSheetId="10">'Maret DAK'!$A$1:$P$44</definedName>
    <definedName name="_xlnm.Print_Area" localSheetId="4">Mei!$A$1:$P$130</definedName>
    <definedName name="_xlnm.Print_Area" localSheetId="12">'Mei DAK'!$A$1:$P$44</definedName>
  </definedNames>
  <calcPr calcId="125725"/>
</workbook>
</file>

<file path=xl/calcChain.xml><?xml version="1.0" encoding="utf-8"?>
<calcChain xmlns="http://schemas.openxmlformats.org/spreadsheetml/2006/main">
  <c r="P101" i="38"/>
  <c r="N101"/>
  <c r="M101"/>
  <c r="P35"/>
  <c r="P36"/>
  <c r="P37"/>
  <c r="P38"/>
  <c r="P39"/>
  <c r="P40"/>
  <c r="P34"/>
  <c r="P31"/>
  <c r="P30"/>
  <c r="M31"/>
  <c r="M30"/>
  <c r="M44"/>
  <c r="K49"/>
  <c r="K112"/>
  <c r="K16" i="36"/>
  <c r="K41"/>
  <c r="K61"/>
  <c r="K26" i="38"/>
  <c r="M44" i="36"/>
  <c r="I44" i="38" s="1"/>
  <c r="K44" i="36"/>
  <c r="K33" i="37"/>
  <c r="K30"/>
  <c r="K22"/>
  <c r="K108" i="36"/>
  <c r="K109"/>
  <c r="K115"/>
  <c r="K118"/>
  <c r="K85"/>
  <c r="K79"/>
  <c r="K78"/>
  <c r="K101"/>
  <c r="K99" s="1"/>
  <c r="K39"/>
  <c r="K69"/>
  <c r="I16" i="39"/>
  <c r="J16"/>
  <c r="I17"/>
  <c r="J17"/>
  <c r="I18"/>
  <c r="J18"/>
  <c r="I19"/>
  <c r="J19"/>
  <c r="I23"/>
  <c r="J23"/>
  <c r="I24"/>
  <c r="J24"/>
  <c r="I25"/>
  <c r="J25"/>
  <c r="I26"/>
  <c r="J26"/>
  <c r="I27"/>
  <c r="J27"/>
  <c r="J15"/>
  <c r="I15"/>
  <c r="L33"/>
  <c r="K32"/>
  <c r="L32" s="1"/>
  <c r="G32"/>
  <c r="L31"/>
  <c r="K31"/>
  <c r="G31"/>
  <c r="L30"/>
  <c r="K29"/>
  <c r="K28" s="1"/>
  <c r="G29"/>
  <c r="M27"/>
  <c r="P27" s="1"/>
  <c r="K26"/>
  <c r="K25" s="1"/>
  <c r="L25" s="1"/>
  <c r="M26"/>
  <c r="N26" s="1"/>
  <c r="G26"/>
  <c r="G25" s="1"/>
  <c r="L24"/>
  <c r="M24"/>
  <c r="N24" s="1"/>
  <c r="G24"/>
  <c r="K23"/>
  <c r="L23" s="1"/>
  <c r="M23"/>
  <c r="N23" s="1"/>
  <c r="G23"/>
  <c r="K21"/>
  <c r="G22"/>
  <c r="G21" s="1"/>
  <c r="L19"/>
  <c r="M19"/>
  <c r="N19" s="1"/>
  <c r="G19"/>
  <c r="K18"/>
  <c r="L18" s="1"/>
  <c r="M18"/>
  <c r="N18" s="1"/>
  <c r="G18"/>
  <c r="L17"/>
  <c r="M17"/>
  <c r="K16"/>
  <c r="L16" s="1"/>
  <c r="M16"/>
  <c r="N16" s="1"/>
  <c r="G16"/>
  <c r="I17" i="38"/>
  <c r="J17"/>
  <c r="I18"/>
  <c r="J18"/>
  <c r="I19"/>
  <c r="J19"/>
  <c r="I20"/>
  <c r="J20"/>
  <c r="I21"/>
  <c r="J21"/>
  <c r="I22"/>
  <c r="J22"/>
  <c r="I23"/>
  <c r="J23"/>
  <c r="I24"/>
  <c r="J24"/>
  <c r="I25"/>
  <c r="J25"/>
  <c r="I26"/>
  <c r="J26"/>
  <c r="I27"/>
  <c r="J27"/>
  <c r="I28"/>
  <c r="J28"/>
  <c r="I29"/>
  <c r="J29"/>
  <c r="I30"/>
  <c r="J30"/>
  <c r="I31"/>
  <c r="J31"/>
  <c r="I32"/>
  <c r="J32"/>
  <c r="I34"/>
  <c r="J34"/>
  <c r="I35"/>
  <c r="J35"/>
  <c r="I36"/>
  <c r="J36"/>
  <c r="I37"/>
  <c r="J37"/>
  <c r="I38"/>
  <c r="J38"/>
  <c r="I40"/>
  <c r="J40"/>
  <c r="I42"/>
  <c r="J42"/>
  <c r="I43"/>
  <c r="J43"/>
  <c r="I45"/>
  <c r="J45"/>
  <c r="I46"/>
  <c r="J46"/>
  <c r="I47"/>
  <c r="J47"/>
  <c r="I48"/>
  <c r="J48"/>
  <c r="I49"/>
  <c r="J49"/>
  <c r="I50"/>
  <c r="J50"/>
  <c r="I51"/>
  <c r="J51"/>
  <c r="I52"/>
  <c r="J52"/>
  <c r="I53"/>
  <c r="J53"/>
  <c r="I54"/>
  <c r="J54"/>
  <c r="I55"/>
  <c r="J55"/>
  <c r="I56"/>
  <c r="J56"/>
  <c r="I57"/>
  <c r="J57"/>
  <c r="I58"/>
  <c r="J58"/>
  <c r="I59"/>
  <c r="M59" s="1"/>
  <c r="J59"/>
  <c r="I60"/>
  <c r="J60"/>
  <c r="I61"/>
  <c r="J61"/>
  <c r="I62"/>
  <c r="J62"/>
  <c r="I63"/>
  <c r="J63"/>
  <c r="I64"/>
  <c r="J64"/>
  <c r="I65"/>
  <c r="M65" s="1"/>
  <c r="J65"/>
  <c r="I66"/>
  <c r="J66"/>
  <c r="I70"/>
  <c r="J70"/>
  <c r="I71"/>
  <c r="M71" s="1"/>
  <c r="J71"/>
  <c r="I72"/>
  <c r="J72"/>
  <c r="I73"/>
  <c r="J73"/>
  <c r="I74"/>
  <c r="J74"/>
  <c r="I75"/>
  <c r="J75"/>
  <c r="I80"/>
  <c r="J80"/>
  <c r="I81"/>
  <c r="M81" s="1"/>
  <c r="N81" s="1"/>
  <c r="J81"/>
  <c r="I82"/>
  <c r="J82"/>
  <c r="I86"/>
  <c r="J86"/>
  <c r="I87"/>
  <c r="J87"/>
  <c r="I88"/>
  <c r="J88"/>
  <c r="I89"/>
  <c r="J89"/>
  <c r="I90"/>
  <c r="J90"/>
  <c r="I91"/>
  <c r="M91" s="1"/>
  <c r="J91"/>
  <c r="I92"/>
  <c r="J92"/>
  <c r="I93"/>
  <c r="J93"/>
  <c r="I94"/>
  <c r="J94"/>
  <c r="I95"/>
  <c r="J95"/>
  <c r="I96"/>
  <c r="J96"/>
  <c r="I97"/>
  <c r="M97" s="1"/>
  <c r="N97" s="1"/>
  <c r="J97"/>
  <c r="I100"/>
  <c r="J100"/>
  <c r="I102"/>
  <c r="J102"/>
  <c r="I103"/>
  <c r="M103" s="1"/>
  <c r="N103" s="1"/>
  <c r="J103"/>
  <c r="I104"/>
  <c r="J104"/>
  <c r="I107"/>
  <c r="J107"/>
  <c r="I110"/>
  <c r="J110"/>
  <c r="I111"/>
  <c r="M111" s="1"/>
  <c r="J111"/>
  <c r="I112"/>
  <c r="J112"/>
  <c r="L118"/>
  <c r="K117"/>
  <c r="K116" s="1"/>
  <c r="L116" s="1"/>
  <c r="G117"/>
  <c r="G116" s="1"/>
  <c r="L115"/>
  <c r="K114"/>
  <c r="L114" s="1"/>
  <c r="G114"/>
  <c r="G113"/>
  <c r="L112"/>
  <c r="M112"/>
  <c r="L111"/>
  <c r="K110"/>
  <c r="L110" s="1"/>
  <c r="G110"/>
  <c r="L109"/>
  <c r="L108"/>
  <c r="M107"/>
  <c r="N107" s="1"/>
  <c r="L107"/>
  <c r="L106"/>
  <c r="K106"/>
  <c r="K105" s="1"/>
  <c r="G106"/>
  <c r="G105" s="1"/>
  <c r="L103"/>
  <c r="L102"/>
  <c r="K102"/>
  <c r="M102"/>
  <c r="N102" s="1"/>
  <c r="G102"/>
  <c r="L100"/>
  <c r="M100"/>
  <c r="K99"/>
  <c r="L99" s="1"/>
  <c r="G99"/>
  <c r="L97"/>
  <c r="L96"/>
  <c r="K96"/>
  <c r="K95" s="1"/>
  <c r="L95" s="1"/>
  <c r="M96"/>
  <c r="N96" s="1"/>
  <c r="G96"/>
  <c r="G95" s="1"/>
  <c r="L94"/>
  <c r="M94"/>
  <c r="L93"/>
  <c r="K93"/>
  <c r="M93"/>
  <c r="N93" s="1"/>
  <c r="G93"/>
  <c r="L92"/>
  <c r="M92"/>
  <c r="L91"/>
  <c r="L90"/>
  <c r="K90"/>
  <c r="M90" s="1"/>
  <c r="N90" s="1"/>
  <c r="G90"/>
  <c r="K89"/>
  <c r="L89" s="1"/>
  <c r="G89"/>
  <c r="L87"/>
  <c r="M87"/>
  <c r="K86"/>
  <c r="L86" s="1"/>
  <c r="M86"/>
  <c r="N86" s="1"/>
  <c r="G86"/>
  <c r="L85"/>
  <c r="L84"/>
  <c r="K84"/>
  <c r="G84"/>
  <c r="L81"/>
  <c r="L80"/>
  <c r="K80"/>
  <c r="M80"/>
  <c r="N80" s="1"/>
  <c r="G80"/>
  <c r="L79"/>
  <c r="L78"/>
  <c r="K77"/>
  <c r="L77" s="1"/>
  <c r="G77"/>
  <c r="G76"/>
  <c r="G121" s="1"/>
  <c r="L74"/>
  <c r="M74"/>
  <c r="K73"/>
  <c r="K72" s="1"/>
  <c r="M72" s="1"/>
  <c r="N72" s="1"/>
  <c r="G73"/>
  <c r="G72" s="1"/>
  <c r="L71"/>
  <c r="L70"/>
  <c r="K70"/>
  <c r="M70"/>
  <c r="N70" s="1"/>
  <c r="G70"/>
  <c r="P70" s="1"/>
  <c r="L69"/>
  <c r="L68"/>
  <c r="K68"/>
  <c r="G68"/>
  <c r="K67"/>
  <c r="L67" s="1"/>
  <c r="G67"/>
  <c r="L66"/>
  <c r="M66"/>
  <c r="L65"/>
  <c r="K64"/>
  <c r="L64" s="1"/>
  <c r="M64"/>
  <c r="N64" s="1"/>
  <c r="G64"/>
  <c r="L63"/>
  <c r="M63"/>
  <c r="K62"/>
  <c r="L62" s="1"/>
  <c r="M62"/>
  <c r="N62" s="1"/>
  <c r="G62"/>
  <c r="L59"/>
  <c r="K58"/>
  <c r="L58" s="1"/>
  <c r="G58"/>
  <c r="L57"/>
  <c r="M57"/>
  <c r="K56"/>
  <c r="L56" s="1"/>
  <c r="M56"/>
  <c r="N56" s="1"/>
  <c r="G56"/>
  <c r="G55"/>
  <c r="M53"/>
  <c r="N53" s="1"/>
  <c r="L53"/>
  <c r="L52"/>
  <c r="M52"/>
  <c r="L51"/>
  <c r="M51"/>
  <c r="K50"/>
  <c r="M50" s="1"/>
  <c r="N50" s="1"/>
  <c r="G50"/>
  <c r="L49"/>
  <c r="M49"/>
  <c r="M48"/>
  <c r="N48" s="1"/>
  <c r="L48"/>
  <c r="L47"/>
  <c r="M47"/>
  <c r="L46"/>
  <c r="M46"/>
  <c r="G45"/>
  <c r="P44"/>
  <c r="N44"/>
  <c r="L44"/>
  <c r="P43"/>
  <c r="N43"/>
  <c r="L43"/>
  <c r="P42"/>
  <c r="N42"/>
  <c r="L42"/>
  <c r="K41"/>
  <c r="L41" s="1"/>
  <c r="G41"/>
  <c r="L40"/>
  <c r="M40"/>
  <c r="L39"/>
  <c r="L38"/>
  <c r="M38"/>
  <c r="N38" s="1"/>
  <c r="G38"/>
  <c r="M37"/>
  <c r="N37" s="1"/>
  <c r="L37"/>
  <c r="L36"/>
  <c r="M36"/>
  <c r="L35"/>
  <c r="M35"/>
  <c r="L34"/>
  <c r="M34"/>
  <c r="K33"/>
  <c r="L33" s="1"/>
  <c r="G33"/>
  <c r="L32"/>
  <c r="M32"/>
  <c r="K29"/>
  <c r="L29" s="1"/>
  <c r="G29"/>
  <c r="L28"/>
  <c r="M28"/>
  <c r="L27"/>
  <c r="M27"/>
  <c r="L26"/>
  <c r="M26"/>
  <c r="K25"/>
  <c r="L25" s="1"/>
  <c r="G25"/>
  <c r="L24"/>
  <c r="M24"/>
  <c r="M23"/>
  <c r="N23" s="1"/>
  <c r="L23"/>
  <c r="M22"/>
  <c r="N22" s="1"/>
  <c r="G22"/>
  <c r="L21"/>
  <c r="M21"/>
  <c r="L20"/>
  <c r="M20"/>
  <c r="L19"/>
  <c r="M19"/>
  <c r="M18"/>
  <c r="N18" s="1"/>
  <c r="L18"/>
  <c r="K17"/>
  <c r="M17"/>
  <c r="K26" i="36"/>
  <c r="K55"/>
  <c r="K19" i="37"/>
  <c r="K17"/>
  <c r="K51" i="36"/>
  <c r="K65"/>
  <c r="K63"/>
  <c r="K35"/>
  <c r="K47"/>
  <c r="K74"/>
  <c r="K57"/>
  <c r="K59"/>
  <c r="K92"/>
  <c r="K111"/>
  <c r="M101" l="1"/>
  <c r="L101"/>
  <c r="K15" i="39"/>
  <c r="M15" s="1"/>
  <c r="L29"/>
  <c r="P16"/>
  <c r="M25"/>
  <c r="N25" s="1"/>
  <c r="P17"/>
  <c r="N17"/>
  <c r="H21"/>
  <c r="G20"/>
  <c r="P18"/>
  <c r="P19"/>
  <c r="P23"/>
  <c r="P24"/>
  <c r="L21"/>
  <c r="K20"/>
  <c r="L20" s="1"/>
  <c r="P25"/>
  <c r="G15"/>
  <c r="H23"/>
  <c r="G28"/>
  <c r="H32"/>
  <c r="G34"/>
  <c r="H18"/>
  <c r="H22"/>
  <c r="L22"/>
  <c r="H26"/>
  <c r="L26"/>
  <c r="P26"/>
  <c r="M25" i="38"/>
  <c r="N25" s="1"/>
  <c r="M29"/>
  <c r="N29" s="1"/>
  <c r="L50"/>
  <c r="M58"/>
  <c r="N58" s="1"/>
  <c r="K55"/>
  <c r="M73"/>
  <c r="N73" s="1"/>
  <c r="K76"/>
  <c r="M89"/>
  <c r="N89" s="1"/>
  <c r="M110"/>
  <c r="N110" s="1"/>
  <c r="K113"/>
  <c r="L113" s="1"/>
  <c r="L117"/>
  <c r="P48"/>
  <c r="P53"/>
  <c r="P51"/>
  <c r="N51"/>
  <c r="P52"/>
  <c r="N52"/>
  <c r="P57"/>
  <c r="N57"/>
  <c r="N59"/>
  <c r="P59"/>
  <c r="N63"/>
  <c r="P63"/>
  <c r="N65"/>
  <c r="P65"/>
  <c r="P94"/>
  <c r="N94"/>
  <c r="N100"/>
  <c r="P100"/>
  <c r="N111"/>
  <c r="P111"/>
  <c r="N112"/>
  <c r="P112"/>
  <c r="N34"/>
  <c r="N49"/>
  <c r="P49"/>
  <c r="P19"/>
  <c r="N19"/>
  <c r="P24"/>
  <c r="N24"/>
  <c r="N35"/>
  <c r="N36"/>
  <c r="P46"/>
  <c r="N46"/>
  <c r="P47"/>
  <c r="N47"/>
  <c r="N66"/>
  <c r="P66"/>
  <c r="P91"/>
  <c r="N91"/>
  <c r="P92"/>
  <c r="N92"/>
  <c r="P50"/>
  <c r="P56"/>
  <c r="P62"/>
  <c r="P80"/>
  <c r="P93"/>
  <c r="M95"/>
  <c r="N95" s="1"/>
  <c r="N28"/>
  <c r="P28"/>
  <c r="P32"/>
  <c r="N32"/>
  <c r="N20"/>
  <c r="P20"/>
  <c r="N26"/>
  <c r="P26"/>
  <c r="P72"/>
  <c r="N74"/>
  <c r="P74"/>
  <c r="G126"/>
  <c r="G104"/>
  <c r="P90"/>
  <c r="N21"/>
  <c r="P21"/>
  <c r="N27"/>
  <c r="P27"/>
  <c r="N40"/>
  <c r="N71"/>
  <c r="P71"/>
  <c r="N87"/>
  <c r="P87"/>
  <c r="P95"/>
  <c r="L72"/>
  <c r="P102"/>
  <c r="L105"/>
  <c r="L22"/>
  <c r="P64"/>
  <c r="P86"/>
  <c r="G17"/>
  <c r="N17" s="1"/>
  <c r="P22"/>
  <c r="L73"/>
  <c r="G75"/>
  <c r="P96"/>
  <c r="G98"/>
  <c r="K98"/>
  <c r="G61"/>
  <c r="K61"/>
  <c r="M61" s="1"/>
  <c r="N61" s="1"/>
  <c r="P73"/>
  <c r="P81"/>
  <c r="G83"/>
  <c r="K83"/>
  <c r="L83" s="1"/>
  <c r="P97"/>
  <c r="P103"/>
  <c r="P107"/>
  <c r="G125"/>
  <c r="P18"/>
  <c r="P23"/>
  <c r="K45"/>
  <c r="L45" s="1"/>
  <c r="G54"/>
  <c r="G124" s="1"/>
  <c r="G88"/>
  <c r="K112" i="36"/>
  <c r="K49"/>
  <c r="K24" i="37"/>
  <c r="N101" i="36" l="1"/>
  <c r="J101" i="38" s="1"/>
  <c r="I101"/>
  <c r="P101" i="36"/>
  <c r="H15" i="39"/>
  <c r="P15"/>
  <c r="H34"/>
  <c r="H24"/>
  <c r="H30"/>
  <c r="H29"/>
  <c r="H17"/>
  <c r="H16"/>
  <c r="H31"/>
  <c r="H27"/>
  <c r="H33"/>
  <c r="H19"/>
  <c r="L15"/>
  <c r="H20"/>
  <c r="H25"/>
  <c r="K34"/>
  <c r="L34" s="1"/>
  <c r="H28"/>
  <c r="L28"/>
  <c r="N15"/>
  <c r="P25" i="38"/>
  <c r="P29"/>
  <c r="L55"/>
  <c r="M55"/>
  <c r="P58"/>
  <c r="L76"/>
  <c r="P89"/>
  <c r="P110"/>
  <c r="P61"/>
  <c r="G60"/>
  <c r="G123"/>
  <c r="G16"/>
  <c r="P17"/>
  <c r="L17"/>
  <c r="L61"/>
  <c r="G122"/>
  <c r="G82"/>
  <c r="L98"/>
  <c r="M45"/>
  <c r="K16"/>
  <c r="K27" i="36"/>
  <c r="K32"/>
  <c r="N55" i="38" l="1"/>
  <c r="P55"/>
  <c r="G120"/>
  <c r="G127" s="1"/>
  <c r="G15"/>
  <c r="G119"/>
  <c r="N45"/>
  <c r="P45"/>
  <c r="L16"/>
  <c r="K119"/>
  <c r="L119" s="1"/>
  <c r="M92" i="36"/>
  <c r="N92" s="1"/>
  <c r="L92"/>
  <c r="K90"/>
  <c r="H119" i="38" l="1"/>
  <c r="H100"/>
  <c r="H87"/>
  <c r="H66"/>
  <c r="H65"/>
  <c r="H49"/>
  <c r="H43"/>
  <c r="H21"/>
  <c r="H20"/>
  <c r="H18"/>
  <c r="H115"/>
  <c r="H114"/>
  <c r="H92"/>
  <c r="H91"/>
  <c r="H90"/>
  <c r="H71"/>
  <c r="H70"/>
  <c r="H69"/>
  <c r="H68"/>
  <c r="H57"/>
  <c r="H56"/>
  <c r="H53"/>
  <c r="H52"/>
  <c r="H51"/>
  <c r="H50"/>
  <c r="H48"/>
  <c r="H47"/>
  <c r="H46"/>
  <c r="H45"/>
  <c r="H40"/>
  <c r="H39"/>
  <c r="H38"/>
  <c r="H37"/>
  <c r="H36"/>
  <c r="H35"/>
  <c r="H32"/>
  <c r="H109"/>
  <c r="H108"/>
  <c r="H94"/>
  <c r="H93"/>
  <c r="H79"/>
  <c r="H74"/>
  <c r="H59"/>
  <c r="H44"/>
  <c r="H42"/>
  <c r="H34"/>
  <c r="H31"/>
  <c r="H28"/>
  <c r="H27"/>
  <c r="H26"/>
  <c r="H24"/>
  <c r="H19"/>
  <c r="H118"/>
  <c r="H117"/>
  <c r="H112"/>
  <c r="H111"/>
  <c r="H110"/>
  <c r="H107"/>
  <c r="H106"/>
  <c r="H103"/>
  <c r="H102"/>
  <c r="H101"/>
  <c r="H97"/>
  <c r="H96"/>
  <c r="H85"/>
  <c r="H84"/>
  <c r="H81"/>
  <c r="H80"/>
  <c r="H78"/>
  <c r="H77"/>
  <c r="H63"/>
  <c r="H62"/>
  <c r="H30"/>
  <c r="H29"/>
  <c r="H23"/>
  <c r="H113"/>
  <c r="H116"/>
  <c r="H55"/>
  <c r="H89"/>
  <c r="H58"/>
  <c r="H76"/>
  <c r="H41"/>
  <c r="H99"/>
  <c r="H86"/>
  <c r="H64"/>
  <c r="H105"/>
  <c r="H67"/>
  <c r="H95"/>
  <c r="H33"/>
  <c r="H22"/>
  <c r="H72"/>
  <c r="H25"/>
  <c r="H73"/>
  <c r="H17"/>
  <c r="H83"/>
  <c r="H61"/>
  <c r="H98"/>
  <c r="H16"/>
  <c r="K38" i="36"/>
  <c r="K91"/>
  <c r="K87"/>
  <c r="K28"/>
  <c r="K36"/>
  <c r="K52"/>
  <c r="K46"/>
  <c r="K40"/>
  <c r="I122" i="34" l="1"/>
  <c r="K26"/>
  <c r="K25"/>
  <c r="K48"/>
  <c r="I16" i="37"/>
  <c r="J16"/>
  <c r="I17"/>
  <c r="J17"/>
  <c r="I18"/>
  <c r="J18"/>
  <c r="I19"/>
  <c r="J19"/>
  <c r="I20"/>
  <c r="J20"/>
  <c r="I21"/>
  <c r="J21"/>
  <c r="I22"/>
  <c r="M22" s="1"/>
  <c r="I22" i="39" s="1"/>
  <c r="M22" s="1"/>
  <c r="J22" i="37"/>
  <c r="I23"/>
  <c r="J23"/>
  <c r="I24"/>
  <c r="J24"/>
  <c r="I25"/>
  <c r="J25"/>
  <c r="I26"/>
  <c r="M26" s="1"/>
  <c r="N26" s="1"/>
  <c r="J26"/>
  <c r="I27"/>
  <c r="J27"/>
  <c r="I28"/>
  <c r="J28"/>
  <c r="I29"/>
  <c r="J29"/>
  <c r="I30"/>
  <c r="M30" s="1"/>
  <c r="I30" i="39" s="1"/>
  <c r="M30" s="1"/>
  <c r="J30" i="37"/>
  <c r="I31"/>
  <c r="J31"/>
  <c r="I32"/>
  <c r="J32"/>
  <c r="I33"/>
  <c r="M33" s="1"/>
  <c r="I33" i="39" s="1"/>
  <c r="M33" s="1"/>
  <c r="J33" i="37"/>
  <c r="I34"/>
  <c r="J34"/>
  <c r="J15"/>
  <c r="I15"/>
  <c r="K32"/>
  <c r="G32"/>
  <c r="G31" s="1"/>
  <c r="L30"/>
  <c r="K29"/>
  <c r="L29" s="1"/>
  <c r="G29"/>
  <c r="G28"/>
  <c r="M27"/>
  <c r="P27" s="1"/>
  <c r="L26"/>
  <c r="K26"/>
  <c r="K25" s="1"/>
  <c r="G26"/>
  <c r="G25" s="1"/>
  <c r="M25"/>
  <c r="M24"/>
  <c r="G24"/>
  <c r="L24" s="1"/>
  <c r="K23"/>
  <c r="L23" s="1"/>
  <c r="M23"/>
  <c r="N23" s="1"/>
  <c r="G23"/>
  <c r="G22"/>
  <c r="K21"/>
  <c r="K20" s="1"/>
  <c r="G21"/>
  <c r="G20" s="1"/>
  <c r="M19"/>
  <c r="N19" s="1"/>
  <c r="G19"/>
  <c r="K18"/>
  <c r="L17"/>
  <c r="M17"/>
  <c r="K16"/>
  <c r="L16" s="1"/>
  <c r="G16"/>
  <c r="I17" i="36"/>
  <c r="J17"/>
  <c r="I18"/>
  <c r="J18"/>
  <c r="I19"/>
  <c r="J19"/>
  <c r="I20"/>
  <c r="J20"/>
  <c r="I21"/>
  <c r="J21"/>
  <c r="I22"/>
  <c r="J22"/>
  <c r="I23"/>
  <c r="J23"/>
  <c r="I24"/>
  <c r="J24"/>
  <c r="I27"/>
  <c r="J27"/>
  <c r="I28"/>
  <c r="J28"/>
  <c r="I29"/>
  <c r="J29"/>
  <c r="I30"/>
  <c r="J30"/>
  <c r="I31"/>
  <c r="J31"/>
  <c r="I32"/>
  <c r="J32"/>
  <c r="I33"/>
  <c r="J33"/>
  <c r="I34"/>
  <c r="J34"/>
  <c r="I35"/>
  <c r="J35"/>
  <c r="I36"/>
  <c r="J36"/>
  <c r="I37"/>
  <c r="J37"/>
  <c r="I38"/>
  <c r="J38"/>
  <c r="I39"/>
  <c r="J39"/>
  <c r="I40"/>
  <c r="J40"/>
  <c r="I41"/>
  <c r="J41"/>
  <c r="I42"/>
  <c r="J42"/>
  <c r="I43"/>
  <c r="J43"/>
  <c r="I44"/>
  <c r="J44"/>
  <c r="I46"/>
  <c r="J46"/>
  <c r="I47"/>
  <c r="J47"/>
  <c r="I49"/>
  <c r="J49"/>
  <c r="I50"/>
  <c r="J50"/>
  <c r="I51"/>
  <c r="J51"/>
  <c r="I52"/>
  <c r="J52"/>
  <c r="I53"/>
  <c r="J53"/>
  <c r="I54"/>
  <c r="J54"/>
  <c r="I55"/>
  <c r="J55"/>
  <c r="I56"/>
  <c r="J56"/>
  <c r="I57"/>
  <c r="J57"/>
  <c r="I58"/>
  <c r="J58"/>
  <c r="I59"/>
  <c r="J59"/>
  <c r="I60"/>
  <c r="J60"/>
  <c r="I61"/>
  <c r="J61"/>
  <c r="I62"/>
  <c r="J62"/>
  <c r="I63"/>
  <c r="J63"/>
  <c r="I64"/>
  <c r="J64"/>
  <c r="I65"/>
  <c r="J65"/>
  <c r="I66"/>
  <c r="J66"/>
  <c r="I67"/>
  <c r="J67"/>
  <c r="I68"/>
  <c r="J68"/>
  <c r="I69"/>
  <c r="J69"/>
  <c r="I70"/>
  <c r="J70"/>
  <c r="I71"/>
  <c r="J71"/>
  <c r="I72"/>
  <c r="J72"/>
  <c r="I73"/>
  <c r="J73"/>
  <c r="I74"/>
  <c r="J74"/>
  <c r="I75"/>
  <c r="J75"/>
  <c r="I76"/>
  <c r="J76"/>
  <c r="I77"/>
  <c r="J77"/>
  <c r="I78"/>
  <c r="J78"/>
  <c r="I79"/>
  <c r="J79"/>
  <c r="I80"/>
  <c r="J80"/>
  <c r="I81"/>
  <c r="J81"/>
  <c r="I82"/>
  <c r="J82"/>
  <c r="I83"/>
  <c r="J83"/>
  <c r="I84"/>
  <c r="J84"/>
  <c r="I85"/>
  <c r="J85"/>
  <c r="I86"/>
  <c r="J86"/>
  <c r="I87"/>
  <c r="J87"/>
  <c r="I88"/>
  <c r="J88"/>
  <c r="I89"/>
  <c r="J89"/>
  <c r="I90"/>
  <c r="J90"/>
  <c r="I91"/>
  <c r="J91"/>
  <c r="I92"/>
  <c r="J92"/>
  <c r="I93"/>
  <c r="J93"/>
  <c r="I94"/>
  <c r="J94"/>
  <c r="I95"/>
  <c r="J95"/>
  <c r="I96"/>
  <c r="J96"/>
  <c r="I97"/>
  <c r="J97"/>
  <c r="I98"/>
  <c r="J98"/>
  <c r="I99"/>
  <c r="J99"/>
  <c r="I100"/>
  <c r="J100"/>
  <c r="I101"/>
  <c r="J101"/>
  <c r="I102"/>
  <c r="J102"/>
  <c r="I103"/>
  <c r="J103"/>
  <c r="I104"/>
  <c r="J104"/>
  <c r="I105"/>
  <c r="J105"/>
  <c r="I106"/>
  <c r="J106"/>
  <c r="I107"/>
  <c r="J107"/>
  <c r="I108"/>
  <c r="J108"/>
  <c r="I109"/>
  <c r="J109"/>
  <c r="I110"/>
  <c r="J110"/>
  <c r="I111"/>
  <c r="J111"/>
  <c r="I112"/>
  <c r="J112"/>
  <c r="I113"/>
  <c r="J113"/>
  <c r="I114"/>
  <c r="J114"/>
  <c r="I115"/>
  <c r="J115"/>
  <c r="I116"/>
  <c r="J116"/>
  <c r="I117"/>
  <c r="J117"/>
  <c r="I118"/>
  <c r="J118"/>
  <c r="L118"/>
  <c r="M118"/>
  <c r="I118" i="38" s="1"/>
  <c r="M118" s="1"/>
  <c r="K117" i="36"/>
  <c r="K116" s="1"/>
  <c r="G117"/>
  <c r="G116" s="1"/>
  <c r="L115"/>
  <c r="M115"/>
  <c r="I115" i="38" s="1"/>
  <c r="M115" s="1"/>
  <c r="G114" i="36"/>
  <c r="L112"/>
  <c r="M112"/>
  <c r="L111"/>
  <c r="M111"/>
  <c r="K110"/>
  <c r="M110" s="1"/>
  <c r="N110" s="1"/>
  <c r="G110"/>
  <c r="L109"/>
  <c r="M109"/>
  <c r="I109" i="38" s="1"/>
  <c r="M109" s="1"/>
  <c r="L108" i="36"/>
  <c r="M108"/>
  <c r="I108" i="38" s="1"/>
  <c r="M108" s="1"/>
  <c r="M107" i="36"/>
  <c r="N107" s="1"/>
  <c r="L107"/>
  <c r="K106"/>
  <c r="L106" s="1"/>
  <c r="G106"/>
  <c r="G105" s="1"/>
  <c r="M103"/>
  <c r="N103" s="1"/>
  <c r="L103"/>
  <c r="L102"/>
  <c r="K102"/>
  <c r="M102"/>
  <c r="N102" s="1"/>
  <c r="G102"/>
  <c r="L100"/>
  <c r="M100"/>
  <c r="L99"/>
  <c r="M99"/>
  <c r="G99"/>
  <c r="M97"/>
  <c r="N97" s="1"/>
  <c r="L97"/>
  <c r="L96"/>
  <c r="K96"/>
  <c r="K95" s="1"/>
  <c r="M96"/>
  <c r="N96" s="1"/>
  <c r="G96"/>
  <c r="G95" s="1"/>
  <c r="L94"/>
  <c r="M94"/>
  <c r="L93"/>
  <c r="K93"/>
  <c r="M93"/>
  <c r="N93" s="1"/>
  <c r="G93"/>
  <c r="P92"/>
  <c r="L91"/>
  <c r="M91"/>
  <c r="K89"/>
  <c r="G90"/>
  <c r="G89" s="1"/>
  <c r="L87"/>
  <c r="M87"/>
  <c r="K86"/>
  <c r="L86" s="1"/>
  <c r="M86"/>
  <c r="N86" s="1"/>
  <c r="G86"/>
  <c r="L85"/>
  <c r="M85"/>
  <c r="I85" i="38" s="1"/>
  <c r="M85" s="1"/>
  <c r="K84" i="36"/>
  <c r="L84" s="1"/>
  <c r="G84"/>
  <c r="G83"/>
  <c r="L81"/>
  <c r="M81"/>
  <c r="L80"/>
  <c r="K80"/>
  <c r="M80"/>
  <c r="N80" s="1"/>
  <c r="G80"/>
  <c r="L79"/>
  <c r="M79"/>
  <c r="I79" i="38" s="1"/>
  <c r="M79" s="1"/>
  <c r="L78" i="36"/>
  <c r="M78"/>
  <c r="I78" i="38" s="1"/>
  <c r="M78" s="1"/>
  <c r="G77" i="36"/>
  <c r="G76"/>
  <c r="G121" s="1"/>
  <c r="L74"/>
  <c r="M74"/>
  <c r="K73"/>
  <c r="L73" s="1"/>
  <c r="G73"/>
  <c r="M71"/>
  <c r="N71" s="1"/>
  <c r="L71"/>
  <c r="L70"/>
  <c r="K70"/>
  <c r="M70"/>
  <c r="N70" s="1"/>
  <c r="G70"/>
  <c r="P70" s="1"/>
  <c r="L69"/>
  <c r="M69"/>
  <c r="I69" i="38" s="1"/>
  <c r="M69" s="1"/>
  <c r="K68" i="36"/>
  <c r="K67" s="1"/>
  <c r="G68"/>
  <c r="G67" s="1"/>
  <c r="L66"/>
  <c r="M66"/>
  <c r="L65"/>
  <c r="M65"/>
  <c r="K64"/>
  <c r="L64" s="1"/>
  <c r="M64"/>
  <c r="N64" s="1"/>
  <c r="G64"/>
  <c r="L63"/>
  <c r="M63"/>
  <c r="K62"/>
  <c r="L62" s="1"/>
  <c r="G62"/>
  <c r="L61"/>
  <c r="G61"/>
  <c r="L59"/>
  <c r="M59"/>
  <c r="K58"/>
  <c r="L58" s="1"/>
  <c r="G58"/>
  <c r="L57"/>
  <c r="M57"/>
  <c r="K56"/>
  <c r="L56" s="1"/>
  <c r="G56"/>
  <c r="L55"/>
  <c r="G55"/>
  <c r="L53"/>
  <c r="M53"/>
  <c r="L52"/>
  <c r="M52"/>
  <c r="L51"/>
  <c r="M51"/>
  <c r="K50"/>
  <c r="L50" s="1"/>
  <c r="G50"/>
  <c r="L49"/>
  <c r="M49"/>
  <c r="L48"/>
  <c r="L47"/>
  <c r="M47"/>
  <c r="M46"/>
  <c r="N46" s="1"/>
  <c r="L46"/>
  <c r="K45"/>
  <c r="L45" s="1"/>
  <c r="G45"/>
  <c r="P44"/>
  <c r="N44"/>
  <c r="J44" i="38" s="1"/>
  <c r="L44" i="36"/>
  <c r="P43"/>
  <c r="N43"/>
  <c r="L43"/>
  <c r="P42"/>
  <c r="N42"/>
  <c r="L42"/>
  <c r="L41"/>
  <c r="G41"/>
  <c r="M40"/>
  <c r="N40" s="1"/>
  <c r="L40"/>
  <c r="L39"/>
  <c r="M39"/>
  <c r="I39" i="38" s="1"/>
  <c r="M39" s="1"/>
  <c r="L38" i="36"/>
  <c r="M38"/>
  <c r="N38" s="1"/>
  <c r="G38"/>
  <c r="L37"/>
  <c r="M37"/>
  <c r="L36"/>
  <c r="M36"/>
  <c r="L35"/>
  <c r="M35"/>
  <c r="P34"/>
  <c r="M34"/>
  <c r="N34" s="1"/>
  <c r="L34"/>
  <c r="K33"/>
  <c r="L33" s="1"/>
  <c r="G33"/>
  <c r="L32"/>
  <c r="K29"/>
  <c r="L29" s="1"/>
  <c r="M32"/>
  <c r="G29"/>
  <c r="L28"/>
  <c r="M28"/>
  <c r="L27"/>
  <c r="M27"/>
  <c r="L26"/>
  <c r="K25"/>
  <c r="L25" s="1"/>
  <c r="G25"/>
  <c r="L24"/>
  <c r="M24"/>
  <c r="L23"/>
  <c r="M23"/>
  <c r="M22"/>
  <c r="G22"/>
  <c r="L22" s="1"/>
  <c r="L21"/>
  <c r="M21"/>
  <c r="L20"/>
  <c r="M20"/>
  <c r="M19"/>
  <c r="N19" s="1"/>
  <c r="L19"/>
  <c r="L18"/>
  <c r="M18"/>
  <c r="G17"/>
  <c r="K20" i="35"/>
  <c r="K26"/>
  <c r="K25" s="1"/>
  <c r="K30"/>
  <c r="K33"/>
  <c r="K17"/>
  <c r="K105" i="34"/>
  <c r="K45"/>
  <c r="N42"/>
  <c r="N43"/>
  <c r="N44"/>
  <c r="M41"/>
  <c r="L42"/>
  <c r="L43"/>
  <c r="L44"/>
  <c r="K41"/>
  <c r="K33"/>
  <c r="K17"/>
  <c r="K73"/>
  <c r="K72" s="1"/>
  <c r="K68"/>
  <c r="K67" s="1"/>
  <c r="K70"/>
  <c r="K51"/>
  <c r="M41" i="36" l="1"/>
  <c r="P41" s="1"/>
  <c r="N33" i="39"/>
  <c r="P33"/>
  <c r="N30"/>
  <c r="P30"/>
  <c r="N22"/>
  <c r="P22"/>
  <c r="M20" i="37"/>
  <c r="I20" i="39" s="1"/>
  <c r="M20" s="1"/>
  <c r="M21" i="37"/>
  <c r="N108" i="38"/>
  <c r="P108"/>
  <c r="N109"/>
  <c r="P109"/>
  <c r="N118"/>
  <c r="P118"/>
  <c r="N115"/>
  <c r="P115"/>
  <c r="P79"/>
  <c r="N79"/>
  <c r="N78"/>
  <c r="P78"/>
  <c r="N39"/>
  <c r="N99" i="36"/>
  <c r="J99" i="38" s="1"/>
  <c r="I99"/>
  <c r="M99" s="1"/>
  <c r="N85"/>
  <c r="P85"/>
  <c r="M68" i="36"/>
  <c r="N69" i="38"/>
  <c r="P69"/>
  <c r="M18" i="37"/>
  <c r="P19"/>
  <c r="M16"/>
  <c r="N16" s="1"/>
  <c r="M55" i="36"/>
  <c r="N55" s="1"/>
  <c r="M58"/>
  <c r="N58" s="1"/>
  <c r="M106"/>
  <c r="L110"/>
  <c r="M61"/>
  <c r="N61" s="1"/>
  <c r="M90"/>
  <c r="N90" s="1"/>
  <c r="L90"/>
  <c r="K83"/>
  <c r="L83" s="1"/>
  <c r="M84"/>
  <c r="M56"/>
  <c r="N56" s="1"/>
  <c r="M50"/>
  <c r="N50" s="1"/>
  <c r="L68"/>
  <c r="K105"/>
  <c r="L105" s="1"/>
  <c r="K15" i="37"/>
  <c r="M15" s="1"/>
  <c r="M29"/>
  <c r="K28"/>
  <c r="M32"/>
  <c r="P22"/>
  <c r="N22"/>
  <c r="J22" i="39" s="1"/>
  <c r="P33" i="37"/>
  <c r="N33"/>
  <c r="J33" i="39" s="1"/>
  <c r="N17" i="37"/>
  <c r="P17"/>
  <c r="P20"/>
  <c r="N24"/>
  <c r="P24"/>
  <c r="P25"/>
  <c r="P30"/>
  <c r="N30"/>
  <c r="J30" i="39" s="1"/>
  <c r="K31" i="37"/>
  <c r="L31" s="1"/>
  <c r="L32"/>
  <c r="L20"/>
  <c r="L25"/>
  <c r="N20"/>
  <c r="J20" i="39" s="1"/>
  <c r="N25" i="37"/>
  <c r="P21"/>
  <c r="P16"/>
  <c r="L21"/>
  <c r="L22"/>
  <c r="P23"/>
  <c r="L33"/>
  <c r="L19"/>
  <c r="P26"/>
  <c r="G18"/>
  <c r="M29" i="36"/>
  <c r="N29" s="1"/>
  <c r="M33"/>
  <c r="M62"/>
  <c r="N62" s="1"/>
  <c r="M73"/>
  <c r="N73" s="1"/>
  <c r="M117"/>
  <c r="P80"/>
  <c r="P40"/>
  <c r="P102"/>
  <c r="P20"/>
  <c r="N20"/>
  <c r="N36"/>
  <c r="P36"/>
  <c r="N69"/>
  <c r="J69" i="38" s="1"/>
  <c r="P69" i="36"/>
  <c r="N118"/>
  <c r="J118" i="38" s="1"/>
  <c r="P118" i="36"/>
  <c r="P21"/>
  <c r="N21"/>
  <c r="N32"/>
  <c r="P32"/>
  <c r="P52"/>
  <c r="N52"/>
  <c r="N57"/>
  <c r="P57"/>
  <c r="P27"/>
  <c r="N27"/>
  <c r="N53"/>
  <c r="P53"/>
  <c r="N59"/>
  <c r="P59"/>
  <c r="N66"/>
  <c r="P66"/>
  <c r="N78"/>
  <c r="J78" i="38" s="1"/>
  <c r="P78" i="36"/>
  <c r="N108"/>
  <c r="J108" i="38" s="1"/>
  <c r="P108" i="36"/>
  <c r="P109"/>
  <c r="N109"/>
  <c r="J109" i="38" s="1"/>
  <c r="N111" i="36"/>
  <c r="P111"/>
  <c r="N112"/>
  <c r="P112"/>
  <c r="P64"/>
  <c r="L67"/>
  <c r="P84"/>
  <c r="L89"/>
  <c r="P93"/>
  <c r="M95"/>
  <c r="N95" s="1"/>
  <c r="M116"/>
  <c r="P18"/>
  <c r="N18"/>
  <c r="N24"/>
  <c r="P24"/>
  <c r="N35"/>
  <c r="P35"/>
  <c r="N37"/>
  <c r="P37"/>
  <c r="N39"/>
  <c r="J39" i="38" s="1"/>
  <c r="P39" i="36"/>
  <c r="N47"/>
  <c r="P47"/>
  <c r="P87"/>
  <c r="N87"/>
  <c r="P91"/>
  <c r="N91"/>
  <c r="N22"/>
  <c r="P22"/>
  <c r="P49"/>
  <c r="N49"/>
  <c r="N51"/>
  <c r="P51"/>
  <c r="P63"/>
  <c r="N63"/>
  <c r="P65"/>
  <c r="N65"/>
  <c r="P74"/>
  <c r="N74"/>
  <c r="P85"/>
  <c r="N85"/>
  <c r="J85" i="38" s="1"/>
  <c r="G125" i="36"/>
  <c r="P94"/>
  <c r="N94"/>
  <c r="P100"/>
  <c r="N100"/>
  <c r="N115"/>
  <c r="J115" i="38" s="1"/>
  <c r="P115" i="36"/>
  <c r="N23"/>
  <c r="P23"/>
  <c r="N28"/>
  <c r="P28"/>
  <c r="N79"/>
  <c r="J79" i="38" s="1"/>
  <c r="P79" i="36"/>
  <c r="N81"/>
  <c r="P81"/>
  <c r="P56"/>
  <c r="P86"/>
  <c r="L95"/>
  <c r="M105"/>
  <c r="L116"/>
  <c r="M67"/>
  <c r="M89"/>
  <c r="N89" s="1"/>
  <c r="P110"/>
  <c r="L117"/>
  <c r="G123"/>
  <c r="K114"/>
  <c r="K17"/>
  <c r="M17" s="1"/>
  <c r="K72"/>
  <c r="M72" s="1"/>
  <c r="N72" s="1"/>
  <c r="P96"/>
  <c r="G98"/>
  <c r="P106"/>
  <c r="G113"/>
  <c r="G16"/>
  <c r="P19"/>
  <c r="P46"/>
  <c r="P68"/>
  <c r="P71"/>
  <c r="P90"/>
  <c r="P97"/>
  <c r="P103"/>
  <c r="P107"/>
  <c r="G122"/>
  <c r="P38"/>
  <c r="P55"/>
  <c r="P99"/>
  <c r="G72"/>
  <c r="K98"/>
  <c r="L98" s="1"/>
  <c r="G60"/>
  <c r="G75"/>
  <c r="K77"/>
  <c r="G82"/>
  <c r="K85" i="34"/>
  <c r="K74"/>
  <c r="N41" i="36" l="1"/>
  <c r="J41" i="38" s="1"/>
  <c r="I41"/>
  <c r="M41" s="1"/>
  <c r="N32" i="37"/>
  <c r="J32" i="39" s="1"/>
  <c r="I32"/>
  <c r="M32" s="1"/>
  <c r="N29" i="37"/>
  <c r="J29" i="39" s="1"/>
  <c r="I29"/>
  <c r="M29" s="1"/>
  <c r="N20"/>
  <c r="P20"/>
  <c r="N21" i="37"/>
  <c r="J21" i="39" s="1"/>
  <c r="I21"/>
  <c r="M21" s="1"/>
  <c r="N106" i="36"/>
  <c r="J106" i="38" s="1"/>
  <c r="I106"/>
  <c r="M106" s="1"/>
  <c r="N105" i="36"/>
  <c r="J105" i="38" s="1"/>
  <c r="I105"/>
  <c r="M105" s="1"/>
  <c r="N117" i="36"/>
  <c r="J117" i="38" s="1"/>
  <c r="I117"/>
  <c r="M117" s="1"/>
  <c r="N116" i="36"/>
  <c r="J116" i="38" s="1"/>
  <c r="I116"/>
  <c r="M116" s="1"/>
  <c r="N33" i="36"/>
  <c r="J33" i="38" s="1"/>
  <c r="I33"/>
  <c r="M33" s="1"/>
  <c r="N99"/>
  <c r="P99"/>
  <c r="M98" i="36"/>
  <c r="N84"/>
  <c r="J84" i="38" s="1"/>
  <c r="I84"/>
  <c r="M84" s="1"/>
  <c r="N68" i="36"/>
  <c r="J68" i="38" s="1"/>
  <c r="I68"/>
  <c r="M68" s="1"/>
  <c r="N67" i="36"/>
  <c r="J67" i="38" s="1"/>
  <c r="I67"/>
  <c r="M67" s="1"/>
  <c r="M31" i="37"/>
  <c r="I31" i="39" s="1"/>
  <c r="M31" s="1"/>
  <c r="P58" i="36"/>
  <c r="P117"/>
  <c r="P61"/>
  <c r="M83"/>
  <c r="P33"/>
  <c r="P50"/>
  <c r="L28" i="37"/>
  <c r="M28"/>
  <c r="I28" i="39" s="1"/>
  <c r="M28" s="1"/>
  <c r="P29" i="37"/>
  <c r="K34"/>
  <c r="P32"/>
  <c r="P18"/>
  <c r="L18"/>
  <c r="G15"/>
  <c r="G34"/>
  <c r="N18"/>
  <c r="P29" i="36"/>
  <c r="P62"/>
  <c r="P73"/>
  <c r="P83"/>
  <c r="P89"/>
  <c r="P95"/>
  <c r="N17"/>
  <c r="P17"/>
  <c r="P72"/>
  <c r="K76"/>
  <c r="L77"/>
  <c r="G120"/>
  <c r="G127" s="1"/>
  <c r="G15"/>
  <c r="G119"/>
  <c r="L114"/>
  <c r="K113"/>
  <c r="P105"/>
  <c r="G104"/>
  <c r="G54"/>
  <c r="G124" s="1"/>
  <c r="M114"/>
  <c r="I114" i="38" s="1"/>
  <c r="M114" s="1"/>
  <c r="P67" i="36"/>
  <c r="P116"/>
  <c r="M77"/>
  <c r="I77" i="38" s="1"/>
  <c r="M77" s="1"/>
  <c r="L17" i="36"/>
  <c r="L72"/>
  <c r="G126"/>
  <c r="G88"/>
  <c r="K69" i="34"/>
  <c r="K47"/>
  <c r="K39"/>
  <c r="K35"/>
  <c r="K115"/>
  <c r="K111"/>
  <c r="K118"/>
  <c r="K108"/>
  <c r="K79"/>
  <c r="K63"/>
  <c r="K24"/>
  <c r="K18"/>
  <c r="K23"/>
  <c r="K38"/>
  <c r="K36"/>
  <c r="K37"/>
  <c r="K27"/>
  <c r="N41" i="38" l="1"/>
  <c r="P41"/>
  <c r="N31" i="39"/>
  <c r="P31"/>
  <c r="N32"/>
  <c r="P32"/>
  <c r="M34"/>
  <c r="N29"/>
  <c r="P29"/>
  <c r="P28"/>
  <c r="N28"/>
  <c r="N21"/>
  <c r="P21"/>
  <c r="N34"/>
  <c r="P34"/>
  <c r="N106" i="38"/>
  <c r="P106"/>
  <c r="N105"/>
  <c r="P105"/>
  <c r="N117"/>
  <c r="P117"/>
  <c r="N116"/>
  <c r="P116"/>
  <c r="N114"/>
  <c r="P114"/>
  <c r="N77"/>
  <c r="P77"/>
  <c r="N33"/>
  <c r="P33"/>
  <c r="N98" i="36"/>
  <c r="J98" i="38" s="1"/>
  <c r="I98"/>
  <c r="M98" s="1"/>
  <c r="P98" i="36"/>
  <c r="N84" i="38"/>
  <c r="P84"/>
  <c r="N83" i="36"/>
  <c r="J83" i="38" s="1"/>
  <c r="I83"/>
  <c r="M83" s="1"/>
  <c r="N68"/>
  <c r="P68"/>
  <c r="N67"/>
  <c r="P67"/>
  <c r="N31" i="37"/>
  <c r="J31" i="39" s="1"/>
  <c r="P31" i="37"/>
  <c r="L34"/>
  <c r="N28"/>
  <c r="J28" i="39" s="1"/>
  <c r="M34" i="37"/>
  <c r="P28"/>
  <c r="H18"/>
  <c r="P15"/>
  <c r="H15"/>
  <c r="N15"/>
  <c r="L15"/>
  <c r="H34"/>
  <c r="H17"/>
  <c r="H27"/>
  <c r="H30"/>
  <c r="H29"/>
  <c r="H24"/>
  <c r="H26"/>
  <c r="H19"/>
  <c r="H33"/>
  <c r="H21"/>
  <c r="H28"/>
  <c r="H20"/>
  <c r="H25"/>
  <c r="H22"/>
  <c r="H31"/>
  <c r="H16"/>
  <c r="H23"/>
  <c r="H32"/>
  <c r="H119" i="36"/>
  <c r="H115"/>
  <c r="H100"/>
  <c r="H79"/>
  <c r="H74"/>
  <c r="H44"/>
  <c r="H42"/>
  <c r="H40"/>
  <c r="H39"/>
  <c r="H34"/>
  <c r="H31"/>
  <c r="H24"/>
  <c r="H23"/>
  <c r="H91"/>
  <c r="H90"/>
  <c r="H87"/>
  <c r="H86"/>
  <c r="H69"/>
  <c r="H65"/>
  <c r="H64"/>
  <c r="H50"/>
  <c r="H43"/>
  <c r="H20"/>
  <c r="H107"/>
  <c r="H106"/>
  <c r="H103"/>
  <c r="H102"/>
  <c r="H101"/>
  <c r="H96"/>
  <c r="H71"/>
  <c r="H70"/>
  <c r="H46"/>
  <c r="H45"/>
  <c r="H36"/>
  <c r="H19"/>
  <c r="H17"/>
  <c r="H92"/>
  <c r="H85"/>
  <c r="H84"/>
  <c r="H81"/>
  <c r="H80"/>
  <c r="H78"/>
  <c r="H77"/>
  <c r="H66"/>
  <c r="H63"/>
  <c r="H59"/>
  <c r="H57"/>
  <c r="H53"/>
  <c r="H49"/>
  <c r="H30"/>
  <c r="H28"/>
  <c r="H27"/>
  <c r="H26"/>
  <c r="H21"/>
  <c r="H112"/>
  <c r="H111"/>
  <c r="H110"/>
  <c r="H109"/>
  <c r="H108"/>
  <c r="H94"/>
  <c r="H93"/>
  <c r="H68"/>
  <c r="H52"/>
  <c r="H51"/>
  <c r="H48"/>
  <c r="H47"/>
  <c r="H97"/>
  <c r="H37"/>
  <c r="H35"/>
  <c r="H32"/>
  <c r="H18"/>
  <c r="H118"/>
  <c r="H83"/>
  <c r="H116"/>
  <c r="H67"/>
  <c r="H73"/>
  <c r="H99"/>
  <c r="H117"/>
  <c r="H55"/>
  <c r="H58"/>
  <c r="H76"/>
  <c r="H38"/>
  <c r="H33"/>
  <c r="H89"/>
  <c r="H105"/>
  <c r="H114"/>
  <c r="H61"/>
  <c r="H29"/>
  <c r="H62"/>
  <c r="H41"/>
  <c r="H25"/>
  <c r="H95"/>
  <c r="H22"/>
  <c r="H56"/>
  <c r="N77"/>
  <c r="J77" i="38" s="1"/>
  <c r="P77" i="36"/>
  <c r="L16"/>
  <c r="K119"/>
  <c r="N114"/>
  <c r="J114" i="38" s="1"/>
  <c r="P114" i="36"/>
  <c r="L113"/>
  <c r="M113"/>
  <c r="I113" i="38" s="1"/>
  <c r="M113" s="1"/>
  <c r="L76" i="36"/>
  <c r="M76"/>
  <c r="I76" i="38" s="1"/>
  <c r="M76" s="1"/>
  <c r="H98" i="36"/>
  <c r="H113"/>
  <c r="H16"/>
  <c r="H72"/>
  <c r="K112" i="34"/>
  <c r="K49"/>
  <c r="K32"/>
  <c r="L119" i="36" l="1"/>
  <c r="I122"/>
  <c r="N34" i="37"/>
  <c r="J34" i="39" s="1"/>
  <c r="I34"/>
  <c r="N113" i="38"/>
  <c r="P113"/>
  <c r="N76"/>
  <c r="P76"/>
  <c r="N98"/>
  <c r="P98"/>
  <c r="N83"/>
  <c r="P83"/>
  <c r="P34" i="37"/>
  <c r="N76" i="36"/>
  <c r="J76" i="38" s="1"/>
  <c r="P76" i="36"/>
  <c r="N113"/>
  <c r="J113" i="38" s="1"/>
  <c r="P113" i="36"/>
  <c r="M112" i="34"/>
  <c r="G38"/>
  <c r="G17"/>
  <c r="G22"/>
  <c r="L26"/>
  <c r="I16" i="35"/>
  <c r="J16"/>
  <c r="I17"/>
  <c r="J17"/>
  <c r="I18"/>
  <c r="M18" s="1"/>
  <c r="N18" s="1"/>
  <c r="J18"/>
  <c r="I19"/>
  <c r="J19"/>
  <c r="I20"/>
  <c r="J20"/>
  <c r="I21"/>
  <c r="J21"/>
  <c r="I22"/>
  <c r="M22" s="1"/>
  <c r="N22" s="1"/>
  <c r="J22"/>
  <c r="I23"/>
  <c r="J23"/>
  <c r="I24"/>
  <c r="J24"/>
  <c r="I25"/>
  <c r="J25"/>
  <c r="I26"/>
  <c r="J26"/>
  <c r="I27"/>
  <c r="J27"/>
  <c r="I28"/>
  <c r="J28"/>
  <c r="I29"/>
  <c r="J29"/>
  <c r="I30"/>
  <c r="M30" s="1"/>
  <c r="J30"/>
  <c r="I31"/>
  <c r="J31"/>
  <c r="I32"/>
  <c r="J32"/>
  <c r="I33"/>
  <c r="J33"/>
  <c r="I34"/>
  <c r="J34"/>
  <c r="J15"/>
  <c r="I15"/>
  <c r="M33"/>
  <c r="N33" s="1"/>
  <c r="L33"/>
  <c r="K32"/>
  <c r="L32" s="1"/>
  <c r="M32"/>
  <c r="N32" s="1"/>
  <c r="G32"/>
  <c r="G31"/>
  <c r="L30"/>
  <c r="K29"/>
  <c r="L29" s="1"/>
  <c r="G29"/>
  <c r="G28"/>
  <c r="M27"/>
  <c r="P27" s="1"/>
  <c r="G26"/>
  <c r="G25"/>
  <c r="M24"/>
  <c r="G24"/>
  <c r="L24" s="1"/>
  <c r="K23"/>
  <c r="L23" s="1"/>
  <c r="M23"/>
  <c r="N23" s="1"/>
  <c r="G23"/>
  <c r="P23" s="1"/>
  <c r="G22"/>
  <c r="K21"/>
  <c r="M21"/>
  <c r="M19"/>
  <c r="G19"/>
  <c r="L19" s="1"/>
  <c r="K18"/>
  <c r="L18" s="1"/>
  <c r="G18"/>
  <c r="L17"/>
  <c r="M17"/>
  <c r="K16"/>
  <c r="L16" s="1"/>
  <c r="G16"/>
  <c r="G15"/>
  <c r="I17" i="34"/>
  <c r="J17"/>
  <c r="I18"/>
  <c r="J18"/>
  <c r="I19"/>
  <c r="M19" s="1"/>
  <c r="J19"/>
  <c r="I20"/>
  <c r="J20"/>
  <c r="I21"/>
  <c r="M21" s="1"/>
  <c r="J21"/>
  <c r="I22"/>
  <c r="J22"/>
  <c r="I23"/>
  <c r="M23" s="1"/>
  <c r="J23"/>
  <c r="I24"/>
  <c r="J24"/>
  <c r="I25"/>
  <c r="J25"/>
  <c r="I26"/>
  <c r="J26"/>
  <c r="I27"/>
  <c r="M27" s="1"/>
  <c r="J27"/>
  <c r="I28"/>
  <c r="J28"/>
  <c r="I29"/>
  <c r="J29"/>
  <c r="I30"/>
  <c r="J30"/>
  <c r="I31"/>
  <c r="J31"/>
  <c r="I32"/>
  <c r="J32"/>
  <c r="I33"/>
  <c r="J33"/>
  <c r="I34"/>
  <c r="J34"/>
  <c r="I35"/>
  <c r="M35" s="1"/>
  <c r="J35"/>
  <c r="I36"/>
  <c r="J36"/>
  <c r="I37"/>
  <c r="M37" s="1"/>
  <c r="P37" s="1"/>
  <c r="J37"/>
  <c r="I38"/>
  <c r="J38"/>
  <c r="I39"/>
  <c r="M39" s="1"/>
  <c r="J39"/>
  <c r="I40"/>
  <c r="J40"/>
  <c r="I41"/>
  <c r="J41"/>
  <c r="I42"/>
  <c r="J42"/>
  <c r="I43"/>
  <c r="J43"/>
  <c r="I44"/>
  <c r="J44"/>
  <c r="I45"/>
  <c r="J45"/>
  <c r="I46"/>
  <c r="J46"/>
  <c r="I47"/>
  <c r="M47" s="1"/>
  <c r="P47" s="1"/>
  <c r="J47"/>
  <c r="I48"/>
  <c r="J48"/>
  <c r="I49"/>
  <c r="M49" s="1"/>
  <c r="J49"/>
  <c r="I50"/>
  <c r="J50"/>
  <c r="I51"/>
  <c r="M51" s="1"/>
  <c r="J51"/>
  <c r="I52"/>
  <c r="J52"/>
  <c r="I53"/>
  <c r="J53"/>
  <c r="I54"/>
  <c r="J54"/>
  <c r="I55"/>
  <c r="M55" s="1"/>
  <c r="J55"/>
  <c r="I56"/>
  <c r="J56"/>
  <c r="I57"/>
  <c r="M57" s="1"/>
  <c r="J57"/>
  <c r="I58"/>
  <c r="J58"/>
  <c r="I59"/>
  <c r="M59" s="1"/>
  <c r="J59"/>
  <c r="I60"/>
  <c r="J60"/>
  <c r="I61"/>
  <c r="J61"/>
  <c r="I62"/>
  <c r="J62"/>
  <c r="I63"/>
  <c r="J63"/>
  <c r="I64"/>
  <c r="J64"/>
  <c r="I65"/>
  <c r="M65" s="1"/>
  <c r="J65"/>
  <c r="I66"/>
  <c r="J66"/>
  <c r="I67"/>
  <c r="J67"/>
  <c r="I68"/>
  <c r="J68"/>
  <c r="I69"/>
  <c r="M69" s="1"/>
  <c r="J69"/>
  <c r="I70"/>
  <c r="J70"/>
  <c r="I71"/>
  <c r="J71"/>
  <c r="I72"/>
  <c r="J72"/>
  <c r="I73"/>
  <c r="J73"/>
  <c r="I74"/>
  <c r="J74"/>
  <c r="I75"/>
  <c r="J75"/>
  <c r="I76"/>
  <c r="J76"/>
  <c r="I77"/>
  <c r="J77"/>
  <c r="I78"/>
  <c r="J78"/>
  <c r="I79"/>
  <c r="J79"/>
  <c r="I80"/>
  <c r="J80"/>
  <c r="I81"/>
  <c r="M81" s="1"/>
  <c r="J81"/>
  <c r="I82"/>
  <c r="J82"/>
  <c r="I83"/>
  <c r="J83"/>
  <c r="I84"/>
  <c r="J84"/>
  <c r="I85"/>
  <c r="M85" s="1"/>
  <c r="J85"/>
  <c r="I86"/>
  <c r="J86"/>
  <c r="I87"/>
  <c r="M87" s="1"/>
  <c r="J87"/>
  <c r="I88"/>
  <c r="J88"/>
  <c r="I89"/>
  <c r="J89"/>
  <c r="I90"/>
  <c r="J90"/>
  <c r="I91"/>
  <c r="M91" s="1"/>
  <c r="J91"/>
  <c r="I92"/>
  <c r="J92"/>
  <c r="I93"/>
  <c r="M93" s="1"/>
  <c r="J93"/>
  <c r="I94"/>
  <c r="J94"/>
  <c r="I95"/>
  <c r="J95"/>
  <c r="I96"/>
  <c r="J96"/>
  <c r="I97"/>
  <c r="J97"/>
  <c r="I98"/>
  <c r="J98"/>
  <c r="I99"/>
  <c r="M99" s="1"/>
  <c r="J99"/>
  <c r="I100"/>
  <c r="J100"/>
  <c r="I101"/>
  <c r="J101"/>
  <c r="I102"/>
  <c r="J102"/>
  <c r="I103"/>
  <c r="M103" s="1"/>
  <c r="N103" s="1"/>
  <c r="J103"/>
  <c r="I104"/>
  <c r="J104"/>
  <c r="I105"/>
  <c r="J105"/>
  <c r="I106"/>
  <c r="J106"/>
  <c r="I107"/>
  <c r="J107"/>
  <c r="I108"/>
  <c r="J108"/>
  <c r="I109"/>
  <c r="M109" s="1"/>
  <c r="J109"/>
  <c r="I110"/>
  <c r="J110"/>
  <c r="I111"/>
  <c r="M111" s="1"/>
  <c r="J111"/>
  <c r="I112"/>
  <c r="J112"/>
  <c r="I113"/>
  <c r="J113"/>
  <c r="I114"/>
  <c r="J114"/>
  <c r="I115"/>
  <c r="M115" s="1"/>
  <c r="J115"/>
  <c r="I116"/>
  <c r="J116"/>
  <c r="I117"/>
  <c r="J117"/>
  <c r="I118"/>
  <c r="J118"/>
  <c r="I119"/>
  <c r="J119"/>
  <c r="J16"/>
  <c r="I16"/>
  <c r="L118"/>
  <c r="M118"/>
  <c r="K117"/>
  <c r="L117" s="1"/>
  <c r="M117"/>
  <c r="N117" s="1"/>
  <c r="G117"/>
  <c r="G116"/>
  <c r="L115"/>
  <c r="K114"/>
  <c r="K113" s="1"/>
  <c r="M114"/>
  <c r="N114" s="1"/>
  <c r="G114"/>
  <c r="G113" s="1"/>
  <c r="L111"/>
  <c r="G110"/>
  <c r="L109"/>
  <c r="L108"/>
  <c r="M108"/>
  <c r="M107"/>
  <c r="N107" s="1"/>
  <c r="L107"/>
  <c r="K106"/>
  <c r="M106" s="1"/>
  <c r="N106" s="1"/>
  <c r="G106"/>
  <c r="L103"/>
  <c r="K102"/>
  <c r="M102"/>
  <c r="N102" s="1"/>
  <c r="G102"/>
  <c r="L102" s="1"/>
  <c r="L100"/>
  <c r="M100"/>
  <c r="K99"/>
  <c r="G99"/>
  <c r="M97"/>
  <c r="N97" s="1"/>
  <c r="L97"/>
  <c r="K96"/>
  <c r="K95" s="1"/>
  <c r="M96"/>
  <c r="G96"/>
  <c r="G95" s="1"/>
  <c r="L94"/>
  <c r="M94"/>
  <c r="K93"/>
  <c r="G93"/>
  <c r="L93" s="1"/>
  <c r="P92"/>
  <c r="L91"/>
  <c r="K90"/>
  <c r="M90"/>
  <c r="G90"/>
  <c r="L90" s="1"/>
  <c r="K89"/>
  <c r="M89"/>
  <c r="L87"/>
  <c r="K86"/>
  <c r="M86"/>
  <c r="G86"/>
  <c r="L86" s="1"/>
  <c r="L85"/>
  <c r="L84"/>
  <c r="K84"/>
  <c r="M84" s="1"/>
  <c r="G84"/>
  <c r="K83"/>
  <c r="L81"/>
  <c r="K80"/>
  <c r="M80"/>
  <c r="G80"/>
  <c r="L80" s="1"/>
  <c r="L79"/>
  <c r="M79"/>
  <c r="M78"/>
  <c r="N78" s="1"/>
  <c r="L78"/>
  <c r="K77"/>
  <c r="M77" s="1"/>
  <c r="G77"/>
  <c r="M74"/>
  <c r="N74" s="1"/>
  <c r="L74"/>
  <c r="G73"/>
  <c r="L71"/>
  <c r="M71"/>
  <c r="G70"/>
  <c r="L69"/>
  <c r="G68"/>
  <c r="L66"/>
  <c r="M66"/>
  <c r="L65"/>
  <c r="L64"/>
  <c r="K64"/>
  <c r="M64"/>
  <c r="G64"/>
  <c r="L63"/>
  <c r="M63"/>
  <c r="K62"/>
  <c r="M62" s="1"/>
  <c r="G62"/>
  <c r="K61"/>
  <c r="G61"/>
  <c r="L59"/>
  <c r="K58"/>
  <c r="M58"/>
  <c r="G58"/>
  <c r="L58" s="1"/>
  <c r="L57"/>
  <c r="K56"/>
  <c r="M56"/>
  <c r="G56"/>
  <c r="G55" s="1"/>
  <c r="K55"/>
  <c r="L53"/>
  <c r="M53"/>
  <c r="P52"/>
  <c r="M52"/>
  <c r="N52" s="1"/>
  <c r="L52"/>
  <c r="L51"/>
  <c r="K50"/>
  <c r="M50" s="1"/>
  <c r="G50"/>
  <c r="L49"/>
  <c r="L48"/>
  <c r="M48"/>
  <c r="I48" i="36" s="1"/>
  <c r="M48" s="1"/>
  <c r="L47" i="34"/>
  <c r="L46"/>
  <c r="M46"/>
  <c r="G45"/>
  <c r="P44"/>
  <c r="P43"/>
  <c r="P42"/>
  <c r="G41"/>
  <c r="L40"/>
  <c r="M40"/>
  <c r="L39"/>
  <c r="L38"/>
  <c r="M38"/>
  <c r="L37"/>
  <c r="L36"/>
  <c r="M36"/>
  <c r="L35"/>
  <c r="L34"/>
  <c r="M34"/>
  <c r="G33"/>
  <c r="L32"/>
  <c r="K29"/>
  <c r="M29" s="1"/>
  <c r="N29" s="1"/>
  <c r="M32"/>
  <c r="G29"/>
  <c r="M28"/>
  <c r="P28" s="1"/>
  <c r="L28"/>
  <c r="L27"/>
  <c r="M26"/>
  <c r="I26" i="36" s="1"/>
  <c r="M26" s="1"/>
  <c r="G25" i="34"/>
  <c r="M24"/>
  <c r="P24" s="1"/>
  <c r="L24"/>
  <c r="L23"/>
  <c r="M22"/>
  <c r="N22" s="1"/>
  <c r="L22"/>
  <c r="L21"/>
  <c r="M20"/>
  <c r="P20" s="1"/>
  <c r="L20"/>
  <c r="L19"/>
  <c r="M18"/>
  <c r="N18" s="1"/>
  <c r="L18"/>
  <c r="I122" i="30"/>
  <c r="K112" i="32"/>
  <c r="K49"/>
  <c r="K27"/>
  <c r="K32"/>
  <c r="K26"/>
  <c r="K112" i="30"/>
  <c r="K49"/>
  <c r="K26"/>
  <c r="I16" i="33"/>
  <c r="J16"/>
  <c r="I17"/>
  <c r="J17"/>
  <c r="I18"/>
  <c r="M18" s="1"/>
  <c r="N18" s="1"/>
  <c r="J18"/>
  <c r="I19"/>
  <c r="J19"/>
  <c r="I20"/>
  <c r="J20"/>
  <c r="I21"/>
  <c r="J21"/>
  <c r="I22"/>
  <c r="M22" s="1"/>
  <c r="N22" s="1"/>
  <c r="J22"/>
  <c r="I23"/>
  <c r="J23"/>
  <c r="I24"/>
  <c r="M24" s="1"/>
  <c r="J24"/>
  <c r="I25"/>
  <c r="J25"/>
  <c r="I26"/>
  <c r="J26"/>
  <c r="I27"/>
  <c r="J27"/>
  <c r="I28"/>
  <c r="J28"/>
  <c r="I29"/>
  <c r="J29"/>
  <c r="I30"/>
  <c r="M30" s="1"/>
  <c r="J30"/>
  <c r="I31"/>
  <c r="J31"/>
  <c r="I32"/>
  <c r="J32"/>
  <c r="I33"/>
  <c r="J33"/>
  <c r="I34"/>
  <c r="J34"/>
  <c r="J15"/>
  <c r="I15"/>
  <c r="L33"/>
  <c r="M33"/>
  <c r="K32"/>
  <c r="K31" s="1"/>
  <c r="L31" s="1"/>
  <c r="G32"/>
  <c r="G31" s="1"/>
  <c r="L30"/>
  <c r="K29"/>
  <c r="L29" s="1"/>
  <c r="G29"/>
  <c r="K28"/>
  <c r="L28" s="1"/>
  <c r="G28"/>
  <c r="M27"/>
  <c r="P27" s="1"/>
  <c r="G26"/>
  <c r="G25"/>
  <c r="G24"/>
  <c r="L24" s="1"/>
  <c r="K23"/>
  <c r="L23" s="1"/>
  <c r="M23"/>
  <c r="N23" s="1"/>
  <c r="G23"/>
  <c r="L22"/>
  <c r="G22"/>
  <c r="K21"/>
  <c r="L21" s="1"/>
  <c r="M21"/>
  <c r="N21" s="1"/>
  <c r="G21"/>
  <c r="M19"/>
  <c r="N19" s="1"/>
  <c r="G19"/>
  <c r="L19" s="1"/>
  <c r="K18"/>
  <c r="L18" s="1"/>
  <c r="G18"/>
  <c r="L17"/>
  <c r="M17"/>
  <c r="K16"/>
  <c r="L16" s="1"/>
  <c r="M16"/>
  <c r="N16" s="1"/>
  <c r="G16"/>
  <c r="I17" i="32"/>
  <c r="M17" s="1"/>
  <c r="N17" s="1"/>
  <c r="J17"/>
  <c r="I18"/>
  <c r="J18"/>
  <c r="I19"/>
  <c r="M19" s="1"/>
  <c r="J19"/>
  <c r="I20"/>
  <c r="J20"/>
  <c r="I21"/>
  <c r="J21"/>
  <c r="I22"/>
  <c r="J22"/>
  <c r="I23"/>
  <c r="M23" s="1"/>
  <c r="J23"/>
  <c r="I24"/>
  <c r="J24"/>
  <c r="I27"/>
  <c r="J27"/>
  <c r="I28"/>
  <c r="J28"/>
  <c r="I29"/>
  <c r="J29"/>
  <c r="I30"/>
  <c r="J30"/>
  <c r="I31"/>
  <c r="J31"/>
  <c r="I32"/>
  <c r="J32"/>
  <c r="I33"/>
  <c r="J33"/>
  <c r="I34"/>
  <c r="J34"/>
  <c r="I35"/>
  <c r="M35" s="1"/>
  <c r="J35"/>
  <c r="I36"/>
  <c r="J36"/>
  <c r="I37"/>
  <c r="M37" s="1"/>
  <c r="J37"/>
  <c r="I38"/>
  <c r="J38"/>
  <c r="I39"/>
  <c r="M39" s="1"/>
  <c r="J39"/>
  <c r="I40"/>
  <c r="J40"/>
  <c r="I41"/>
  <c r="M41" s="1"/>
  <c r="N41" s="1"/>
  <c r="J41"/>
  <c r="I42"/>
  <c r="J42"/>
  <c r="I43"/>
  <c r="J43"/>
  <c r="I44"/>
  <c r="J44"/>
  <c r="I46"/>
  <c r="J46"/>
  <c r="I47"/>
  <c r="J47"/>
  <c r="I48"/>
  <c r="J48"/>
  <c r="I50"/>
  <c r="J50"/>
  <c r="I51"/>
  <c r="J51"/>
  <c r="I52"/>
  <c r="J52"/>
  <c r="I53"/>
  <c r="M53" s="1"/>
  <c r="J53"/>
  <c r="I54"/>
  <c r="J54"/>
  <c r="I55"/>
  <c r="J55"/>
  <c r="I56"/>
  <c r="J56"/>
  <c r="I57"/>
  <c r="M57" s="1"/>
  <c r="J57"/>
  <c r="I58"/>
  <c r="J58"/>
  <c r="I59"/>
  <c r="M59" s="1"/>
  <c r="N59" s="1"/>
  <c r="J59"/>
  <c r="I60"/>
  <c r="J60"/>
  <c r="I61"/>
  <c r="M61" s="1"/>
  <c r="N61" s="1"/>
  <c r="J61"/>
  <c r="I62"/>
  <c r="J62"/>
  <c r="I63"/>
  <c r="M63" s="1"/>
  <c r="N63" s="1"/>
  <c r="J63"/>
  <c r="I64"/>
  <c r="J64"/>
  <c r="I65"/>
  <c r="J65"/>
  <c r="I66"/>
  <c r="J66"/>
  <c r="I67"/>
  <c r="J67"/>
  <c r="I68"/>
  <c r="J68"/>
  <c r="I69"/>
  <c r="M69" s="1"/>
  <c r="N69" s="1"/>
  <c r="J69"/>
  <c r="I70"/>
  <c r="J70"/>
  <c r="I71"/>
  <c r="M71" s="1"/>
  <c r="N71" s="1"/>
  <c r="J71"/>
  <c r="I72"/>
  <c r="J72"/>
  <c r="I73"/>
  <c r="J73"/>
  <c r="I74"/>
  <c r="J74"/>
  <c r="I75"/>
  <c r="J75"/>
  <c r="I76"/>
  <c r="J76"/>
  <c r="I77"/>
  <c r="M77" s="1"/>
  <c r="N77" s="1"/>
  <c r="J77"/>
  <c r="I78"/>
  <c r="J78"/>
  <c r="I79"/>
  <c r="M79" s="1"/>
  <c r="N79" s="1"/>
  <c r="J79"/>
  <c r="I80"/>
  <c r="J80"/>
  <c r="I81"/>
  <c r="M81" s="1"/>
  <c r="N81" s="1"/>
  <c r="J81"/>
  <c r="I82"/>
  <c r="J82"/>
  <c r="I83"/>
  <c r="J83"/>
  <c r="I84"/>
  <c r="J84"/>
  <c r="I85"/>
  <c r="M85" s="1"/>
  <c r="J85"/>
  <c r="I86"/>
  <c r="J86"/>
  <c r="I87"/>
  <c r="J87"/>
  <c r="I88"/>
  <c r="J88"/>
  <c r="I89"/>
  <c r="M89" s="1"/>
  <c r="N89" s="1"/>
  <c r="J89"/>
  <c r="I90"/>
  <c r="J90"/>
  <c r="I91"/>
  <c r="M91" s="1"/>
  <c r="J91"/>
  <c r="I92"/>
  <c r="J92"/>
  <c r="I93"/>
  <c r="M93" s="1"/>
  <c r="N93" s="1"/>
  <c r="J93"/>
  <c r="I94"/>
  <c r="J94"/>
  <c r="I95"/>
  <c r="M95" s="1"/>
  <c r="N95" s="1"/>
  <c r="J95"/>
  <c r="I96"/>
  <c r="J96"/>
  <c r="I97"/>
  <c r="M97" s="1"/>
  <c r="J97"/>
  <c r="I98"/>
  <c r="J98"/>
  <c r="I99"/>
  <c r="M99" s="1"/>
  <c r="N99" s="1"/>
  <c r="J99"/>
  <c r="I100"/>
  <c r="J100"/>
  <c r="I101"/>
  <c r="J101"/>
  <c r="I102"/>
  <c r="J102"/>
  <c r="I103"/>
  <c r="M103" s="1"/>
  <c r="J103"/>
  <c r="I104"/>
  <c r="J104"/>
  <c r="I106"/>
  <c r="J106"/>
  <c r="I107"/>
  <c r="M107" s="1"/>
  <c r="J107"/>
  <c r="I108"/>
  <c r="J108"/>
  <c r="I109"/>
  <c r="M109" s="1"/>
  <c r="J109"/>
  <c r="I111"/>
  <c r="M111" s="1"/>
  <c r="J111"/>
  <c r="I113"/>
  <c r="J113"/>
  <c r="I114"/>
  <c r="J114"/>
  <c r="I115"/>
  <c r="M115" s="1"/>
  <c r="J115"/>
  <c r="I116"/>
  <c r="J116"/>
  <c r="I117"/>
  <c r="M117" s="1"/>
  <c r="N117" s="1"/>
  <c r="J117"/>
  <c r="I118"/>
  <c r="J118"/>
  <c r="L118"/>
  <c r="M118"/>
  <c r="K117"/>
  <c r="L117" s="1"/>
  <c r="G117"/>
  <c r="K116"/>
  <c r="L116" s="1"/>
  <c r="G116"/>
  <c r="L115"/>
  <c r="K114"/>
  <c r="L114" s="1"/>
  <c r="G114"/>
  <c r="G113"/>
  <c r="L112"/>
  <c r="L111"/>
  <c r="K110"/>
  <c r="L110" s="1"/>
  <c r="G110"/>
  <c r="L109"/>
  <c r="L108"/>
  <c r="M108"/>
  <c r="L107"/>
  <c r="G106"/>
  <c r="G105"/>
  <c r="L103"/>
  <c r="L102"/>
  <c r="K102"/>
  <c r="M102"/>
  <c r="N102" s="1"/>
  <c r="G102"/>
  <c r="L100"/>
  <c r="M100"/>
  <c r="K99"/>
  <c r="L99" s="1"/>
  <c r="G99"/>
  <c r="L97"/>
  <c r="L96"/>
  <c r="K96"/>
  <c r="M96"/>
  <c r="N96" s="1"/>
  <c r="G96"/>
  <c r="K95"/>
  <c r="L95" s="1"/>
  <c r="G95"/>
  <c r="L94"/>
  <c r="M94"/>
  <c r="K93"/>
  <c r="L93" s="1"/>
  <c r="G93"/>
  <c r="P92"/>
  <c r="L91"/>
  <c r="K90"/>
  <c r="K89" s="1"/>
  <c r="M90"/>
  <c r="N90" s="1"/>
  <c r="G90"/>
  <c r="G89" s="1"/>
  <c r="L87"/>
  <c r="M87"/>
  <c r="K86"/>
  <c r="L86" s="1"/>
  <c r="M86"/>
  <c r="N86" s="1"/>
  <c r="G86"/>
  <c r="L85"/>
  <c r="K84"/>
  <c r="M84" s="1"/>
  <c r="N84" s="1"/>
  <c r="G84"/>
  <c r="L81"/>
  <c r="L80"/>
  <c r="K80"/>
  <c r="M80"/>
  <c r="N80" s="1"/>
  <c r="G80"/>
  <c r="L79"/>
  <c r="L78"/>
  <c r="M78"/>
  <c r="K77"/>
  <c r="K76" s="1"/>
  <c r="G77"/>
  <c r="G76" s="1"/>
  <c r="M76"/>
  <c r="N76" s="1"/>
  <c r="L74"/>
  <c r="M74"/>
  <c r="K73"/>
  <c r="K72" s="1"/>
  <c r="M73"/>
  <c r="N73" s="1"/>
  <c r="G73"/>
  <c r="G72" s="1"/>
  <c r="L71"/>
  <c r="G70"/>
  <c r="L69"/>
  <c r="L68"/>
  <c r="K68"/>
  <c r="M68"/>
  <c r="N68" s="1"/>
  <c r="G68"/>
  <c r="K67"/>
  <c r="L67" s="1"/>
  <c r="M67"/>
  <c r="N67" s="1"/>
  <c r="G67"/>
  <c r="L66"/>
  <c r="M66"/>
  <c r="M65"/>
  <c r="N65" s="1"/>
  <c r="L65"/>
  <c r="L64"/>
  <c r="K64"/>
  <c r="M64"/>
  <c r="N64" s="1"/>
  <c r="G64"/>
  <c r="L63"/>
  <c r="L62"/>
  <c r="K62"/>
  <c r="M62"/>
  <c r="N62" s="1"/>
  <c r="G62"/>
  <c r="K61"/>
  <c r="L61" s="1"/>
  <c r="G61"/>
  <c r="L59"/>
  <c r="L58"/>
  <c r="K58"/>
  <c r="M58"/>
  <c r="N58" s="1"/>
  <c r="G58"/>
  <c r="L57"/>
  <c r="L56"/>
  <c r="K56"/>
  <c r="M56"/>
  <c r="N56" s="1"/>
  <c r="G56"/>
  <c r="K55"/>
  <c r="L55" s="1"/>
  <c r="M55"/>
  <c r="N55" s="1"/>
  <c r="G55"/>
  <c r="L53"/>
  <c r="M52"/>
  <c r="P52" s="1"/>
  <c r="L52"/>
  <c r="L51"/>
  <c r="M51"/>
  <c r="L50"/>
  <c r="K50"/>
  <c r="M50"/>
  <c r="N50" s="1"/>
  <c r="G50"/>
  <c r="L49"/>
  <c r="M48"/>
  <c r="P48" s="1"/>
  <c r="L48"/>
  <c r="L47"/>
  <c r="M47"/>
  <c r="L46"/>
  <c r="M46"/>
  <c r="K45"/>
  <c r="L45" s="1"/>
  <c r="G45"/>
  <c r="P44"/>
  <c r="P43"/>
  <c r="P42"/>
  <c r="G41"/>
  <c r="L40"/>
  <c r="M40"/>
  <c r="L39"/>
  <c r="L38"/>
  <c r="M38"/>
  <c r="L37"/>
  <c r="L36"/>
  <c r="M36"/>
  <c r="L35"/>
  <c r="L34"/>
  <c r="M34"/>
  <c r="K33"/>
  <c r="L33" s="1"/>
  <c r="G33"/>
  <c r="L32"/>
  <c r="K29"/>
  <c r="L29" s="1"/>
  <c r="M32"/>
  <c r="G29"/>
  <c r="L28"/>
  <c r="M28"/>
  <c r="L27"/>
  <c r="M27"/>
  <c r="L26"/>
  <c r="K25"/>
  <c r="L25" s="1"/>
  <c r="G25"/>
  <c r="L24"/>
  <c r="M24"/>
  <c r="L23"/>
  <c r="L22"/>
  <c r="M22"/>
  <c r="M21"/>
  <c r="P21" s="1"/>
  <c r="L21"/>
  <c r="L20"/>
  <c r="M20"/>
  <c r="L19"/>
  <c r="L18"/>
  <c r="M18"/>
  <c r="L17"/>
  <c r="K17"/>
  <c r="G17"/>
  <c r="K85" i="30"/>
  <c r="K33" i="31"/>
  <c r="K30"/>
  <c r="K22"/>
  <c r="K118" i="30"/>
  <c r="K115"/>
  <c r="K108"/>
  <c r="K109"/>
  <c r="L109" s="1"/>
  <c r="M109"/>
  <c r="N109" s="1"/>
  <c r="K111"/>
  <c r="P43"/>
  <c r="P44"/>
  <c r="P42"/>
  <c r="P41"/>
  <c r="P40"/>
  <c r="M40"/>
  <c r="N40" s="1"/>
  <c r="L40"/>
  <c r="M33"/>
  <c r="K33"/>
  <c r="K39"/>
  <c r="K35"/>
  <c r="P38"/>
  <c r="N38"/>
  <c r="M38"/>
  <c r="L38"/>
  <c r="K38"/>
  <c r="K34"/>
  <c r="K51"/>
  <c r="K37"/>
  <c r="K36"/>
  <c r="K28"/>
  <c r="K47"/>
  <c r="N48" i="36" l="1"/>
  <c r="P48"/>
  <c r="P26"/>
  <c r="N26"/>
  <c r="M29" i="35"/>
  <c r="N29" s="1"/>
  <c r="K28"/>
  <c r="L28" s="1"/>
  <c r="K31"/>
  <c r="M15"/>
  <c r="N15" s="1"/>
  <c r="M16"/>
  <c r="N16" s="1"/>
  <c r="K15"/>
  <c r="L15" s="1"/>
  <c r="M68" i="34"/>
  <c r="N68" s="1"/>
  <c r="M67"/>
  <c r="P67" s="1"/>
  <c r="M113"/>
  <c r="N113" s="1"/>
  <c r="K116"/>
  <c r="L106"/>
  <c r="M73"/>
  <c r="N73" s="1"/>
  <c r="M83"/>
  <c r="P62"/>
  <c r="M61"/>
  <c r="M17"/>
  <c r="N17" s="1"/>
  <c r="M33"/>
  <c r="N33" s="1"/>
  <c r="L112"/>
  <c r="L99"/>
  <c r="N99"/>
  <c r="L96"/>
  <c r="N96"/>
  <c r="N93"/>
  <c r="G89"/>
  <c r="L89" s="1"/>
  <c r="N90"/>
  <c r="N86"/>
  <c r="G83"/>
  <c r="N84"/>
  <c r="N80"/>
  <c r="N77"/>
  <c r="L77"/>
  <c r="L73"/>
  <c r="L68"/>
  <c r="G67"/>
  <c r="N64"/>
  <c r="N61"/>
  <c r="L61"/>
  <c r="L62"/>
  <c r="N62"/>
  <c r="N58"/>
  <c r="L55"/>
  <c r="L56"/>
  <c r="N55"/>
  <c r="N56"/>
  <c r="L50"/>
  <c r="N50"/>
  <c r="L45"/>
  <c r="N41"/>
  <c r="G16"/>
  <c r="G120" s="1"/>
  <c r="L33"/>
  <c r="L25"/>
  <c r="L17"/>
  <c r="M25"/>
  <c r="P18" i="35"/>
  <c r="P22"/>
  <c r="P16"/>
  <c r="P15"/>
  <c r="N30"/>
  <c r="P30"/>
  <c r="P32"/>
  <c r="N17"/>
  <c r="P17"/>
  <c r="N19"/>
  <c r="P19"/>
  <c r="N24"/>
  <c r="P24"/>
  <c r="M26"/>
  <c r="N26" s="1"/>
  <c r="P33"/>
  <c r="L22"/>
  <c r="G21"/>
  <c r="M45" i="34"/>
  <c r="N39"/>
  <c r="P39"/>
  <c r="N35"/>
  <c r="P35"/>
  <c r="P41"/>
  <c r="P22"/>
  <c r="P55"/>
  <c r="P64"/>
  <c r="P90"/>
  <c r="P102"/>
  <c r="P18"/>
  <c r="P61"/>
  <c r="N21"/>
  <c r="P21"/>
  <c r="N27"/>
  <c r="P27"/>
  <c r="N32"/>
  <c r="P32"/>
  <c r="N34"/>
  <c r="P34"/>
  <c r="N36"/>
  <c r="P36"/>
  <c r="N49"/>
  <c r="P49"/>
  <c r="N51"/>
  <c r="P51"/>
  <c r="N53"/>
  <c r="P53"/>
  <c r="N63"/>
  <c r="P63"/>
  <c r="N65"/>
  <c r="P65"/>
  <c r="N85"/>
  <c r="P85"/>
  <c r="N87"/>
  <c r="P87"/>
  <c r="P111"/>
  <c r="N111"/>
  <c r="N115"/>
  <c r="P115"/>
  <c r="N118"/>
  <c r="P118"/>
  <c r="P50"/>
  <c r="P93"/>
  <c r="M95"/>
  <c r="N95" s="1"/>
  <c r="N23"/>
  <c r="P23"/>
  <c r="N26"/>
  <c r="J26" i="36" s="1"/>
  <c r="P26" i="34"/>
  <c r="N38"/>
  <c r="P38"/>
  <c r="N40"/>
  <c r="P40"/>
  <c r="P66"/>
  <c r="N66"/>
  <c r="N69"/>
  <c r="P69"/>
  <c r="N108"/>
  <c r="P108"/>
  <c r="P112"/>
  <c r="N112"/>
  <c r="P83"/>
  <c r="P84"/>
  <c r="P86"/>
  <c r="L113"/>
  <c r="P117"/>
  <c r="N19"/>
  <c r="P19"/>
  <c r="L29"/>
  <c r="K16"/>
  <c r="N46"/>
  <c r="P46"/>
  <c r="N57"/>
  <c r="P57"/>
  <c r="N59"/>
  <c r="P59"/>
  <c r="N79"/>
  <c r="P79"/>
  <c r="N81"/>
  <c r="P81"/>
  <c r="N91"/>
  <c r="P91"/>
  <c r="P95"/>
  <c r="P109"/>
  <c r="N109"/>
  <c r="N48"/>
  <c r="J48" i="36" s="1"/>
  <c r="P48" i="34"/>
  <c r="N71"/>
  <c r="P71"/>
  <c r="N94"/>
  <c r="P94"/>
  <c r="N100"/>
  <c r="P100"/>
  <c r="P29"/>
  <c r="P56"/>
  <c r="P58"/>
  <c r="P80"/>
  <c r="L95"/>
  <c r="P99"/>
  <c r="P17"/>
  <c r="N20"/>
  <c r="N24"/>
  <c r="N28"/>
  <c r="N37"/>
  <c r="N47"/>
  <c r="P73"/>
  <c r="P77"/>
  <c r="P96"/>
  <c r="G98"/>
  <c r="G88" s="1"/>
  <c r="K98"/>
  <c r="P106"/>
  <c r="L114"/>
  <c r="G123"/>
  <c r="L41"/>
  <c r="G60"/>
  <c r="L67"/>
  <c r="G72"/>
  <c r="P74"/>
  <c r="G76"/>
  <c r="K76"/>
  <c r="M76" s="1"/>
  <c r="P78"/>
  <c r="G82"/>
  <c r="P97"/>
  <c r="P103"/>
  <c r="G105"/>
  <c r="P107"/>
  <c r="P114"/>
  <c r="G122"/>
  <c r="K110"/>
  <c r="L110" s="1"/>
  <c r="P21" i="33"/>
  <c r="M28"/>
  <c r="N28" s="1"/>
  <c r="M29"/>
  <c r="N29" s="1"/>
  <c r="M32"/>
  <c r="N32" s="1"/>
  <c r="M31"/>
  <c r="N31" s="1"/>
  <c r="L32"/>
  <c r="P19"/>
  <c r="P22"/>
  <c r="N17"/>
  <c r="P17"/>
  <c r="N24"/>
  <c r="P24"/>
  <c r="N33"/>
  <c r="P33"/>
  <c r="H23"/>
  <c r="P30"/>
  <c r="N30"/>
  <c r="M15"/>
  <c r="P16"/>
  <c r="P18"/>
  <c r="P23"/>
  <c r="G15"/>
  <c r="K15"/>
  <c r="G34"/>
  <c r="H31" s="1"/>
  <c r="K26"/>
  <c r="G20"/>
  <c r="K20"/>
  <c r="M20" s="1"/>
  <c r="N20" s="1"/>
  <c r="M29" i="32"/>
  <c r="N29" s="1"/>
  <c r="M33"/>
  <c r="N33" s="1"/>
  <c r="L84"/>
  <c r="M114"/>
  <c r="N114" s="1"/>
  <c r="K113"/>
  <c r="M116"/>
  <c r="N116" s="1"/>
  <c r="N107"/>
  <c r="P107"/>
  <c r="N103"/>
  <c r="P103"/>
  <c r="N97"/>
  <c r="P97"/>
  <c r="P117"/>
  <c r="P17"/>
  <c r="P62"/>
  <c r="P96"/>
  <c r="P102"/>
  <c r="N20"/>
  <c r="P20"/>
  <c r="N32"/>
  <c r="P32"/>
  <c r="N34"/>
  <c r="P34"/>
  <c r="N38"/>
  <c r="P38"/>
  <c r="N47"/>
  <c r="P47"/>
  <c r="P74"/>
  <c r="N74"/>
  <c r="P85"/>
  <c r="N85"/>
  <c r="P87"/>
  <c r="N87"/>
  <c r="N100"/>
  <c r="P100"/>
  <c r="N108"/>
  <c r="P108"/>
  <c r="P115"/>
  <c r="N115"/>
  <c r="N118"/>
  <c r="P118"/>
  <c r="P50"/>
  <c r="N22"/>
  <c r="P22"/>
  <c r="N27"/>
  <c r="P27"/>
  <c r="N35"/>
  <c r="P35"/>
  <c r="N39"/>
  <c r="P39"/>
  <c r="N57"/>
  <c r="P57"/>
  <c r="P66"/>
  <c r="N66"/>
  <c r="P76"/>
  <c r="G75"/>
  <c r="G121"/>
  <c r="P78"/>
  <c r="N78"/>
  <c r="P89"/>
  <c r="P91"/>
  <c r="N91"/>
  <c r="N109"/>
  <c r="P109"/>
  <c r="P111"/>
  <c r="N111"/>
  <c r="L72"/>
  <c r="P84"/>
  <c r="P18"/>
  <c r="N18"/>
  <c r="N23"/>
  <c r="P23"/>
  <c r="N28"/>
  <c r="P28"/>
  <c r="N36"/>
  <c r="P36"/>
  <c r="N40"/>
  <c r="P40"/>
  <c r="K70"/>
  <c r="L70" s="1"/>
  <c r="L76"/>
  <c r="P56"/>
  <c r="P58"/>
  <c r="P64"/>
  <c r="P68"/>
  <c r="M72"/>
  <c r="N72" s="1"/>
  <c r="P80"/>
  <c r="L89"/>
  <c r="N19"/>
  <c r="P19"/>
  <c r="N24"/>
  <c r="P24"/>
  <c r="N37"/>
  <c r="P37"/>
  <c r="N46"/>
  <c r="P46"/>
  <c r="N51"/>
  <c r="P51"/>
  <c r="N53"/>
  <c r="P53"/>
  <c r="P94"/>
  <c r="N94"/>
  <c r="L41"/>
  <c r="P41"/>
  <c r="P86"/>
  <c r="P90"/>
  <c r="P93"/>
  <c r="P95"/>
  <c r="G16"/>
  <c r="K16"/>
  <c r="N21"/>
  <c r="P29"/>
  <c r="N48"/>
  <c r="N52"/>
  <c r="P55"/>
  <c r="P59"/>
  <c r="P61"/>
  <c r="P63"/>
  <c r="P65"/>
  <c r="P67"/>
  <c r="P69"/>
  <c r="P71"/>
  <c r="P79"/>
  <c r="P81"/>
  <c r="G83"/>
  <c r="K83"/>
  <c r="P99"/>
  <c r="G123"/>
  <c r="L73"/>
  <c r="L77"/>
  <c r="L90"/>
  <c r="G98"/>
  <c r="K98"/>
  <c r="G104"/>
  <c r="K106"/>
  <c r="G126"/>
  <c r="P73"/>
  <c r="P77"/>
  <c r="G54"/>
  <c r="G124" s="1"/>
  <c r="G60"/>
  <c r="P109" i="30"/>
  <c r="N45" i="34" l="1"/>
  <c r="J45" i="36" s="1"/>
  <c r="I45"/>
  <c r="M45" s="1"/>
  <c r="N25" i="34"/>
  <c r="J25" i="36" s="1"/>
  <c r="I25"/>
  <c r="M25" s="1"/>
  <c r="P25" i="34"/>
  <c r="M28" i="35"/>
  <c r="P29"/>
  <c r="M20"/>
  <c r="P26"/>
  <c r="L31"/>
  <c r="M31"/>
  <c r="K34"/>
  <c r="N67" i="34"/>
  <c r="N83"/>
  <c r="P68"/>
  <c r="P33"/>
  <c r="P113"/>
  <c r="L116"/>
  <c r="M116"/>
  <c r="P45"/>
  <c r="L98"/>
  <c r="G125"/>
  <c r="P89"/>
  <c r="N89"/>
  <c r="L83"/>
  <c r="N76"/>
  <c r="G15"/>
  <c r="P21" i="35"/>
  <c r="L21"/>
  <c r="G20"/>
  <c r="L26"/>
  <c r="G34"/>
  <c r="N21"/>
  <c r="G121" i="34"/>
  <c r="P76"/>
  <c r="G75"/>
  <c r="L16"/>
  <c r="M16"/>
  <c r="I16" i="36" s="1"/>
  <c r="M16" s="1"/>
  <c r="I16" i="38" s="1"/>
  <c r="M16" s="1"/>
  <c r="G126" i="34"/>
  <c r="G104"/>
  <c r="L76"/>
  <c r="G54"/>
  <c r="G124" s="1"/>
  <c r="M98"/>
  <c r="N98" s="1"/>
  <c r="L72"/>
  <c r="G119"/>
  <c r="H98" s="1"/>
  <c r="M110"/>
  <c r="M72"/>
  <c r="N72" s="1"/>
  <c r="P28" i="33"/>
  <c r="P29"/>
  <c r="P31"/>
  <c r="P32"/>
  <c r="K25"/>
  <c r="L26"/>
  <c r="P15"/>
  <c r="H15"/>
  <c r="H29"/>
  <c r="M34"/>
  <c r="N34" s="1"/>
  <c r="N15"/>
  <c r="L15"/>
  <c r="K34"/>
  <c r="L34" s="1"/>
  <c r="P20"/>
  <c r="H20"/>
  <c r="H24"/>
  <c r="H21"/>
  <c r="M26"/>
  <c r="H34"/>
  <c r="H17"/>
  <c r="H33"/>
  <c r="H22"/>
  <c r="H30"/>
  <c r="H19"/>
  <c r="H32"/>
  <c r="H27"/>
  <c r="L20"/>
  <c r="H25"/>
  <c r="H26"/>
  <c r="H28"/>
  <c r="H18"/>
  <c r="H16"/>
  <c r="P33" i="32"/>
  <c r="L113"/>
  <c r="M113"/>
  <c r="P114"/>
  <c r="P116"/>
  <c r="H83"/>
  <c r="G82"/>
  <c r="G122"/>
  <c r="G120"/>
  <c r="G127" s="1"/>
  <c r="G119"/>
  <c r="H16" s="1"/>
  <c r="G15"/>
  <c r="L83"/>
  <c r="M70"/>
  <c r="L106"/>
  <c r="K105"/>
  <c r="L16"/>
  <c r="M106"/>
  <c r="G125"/>
  <c r="P72"/>
  <c r="L98"/>
  <c r="M83"/>
  <c r="N83" s="1"/>
  <c r="M98"/>
  <c r="N98" s="1"/>
  <c r="G88"/>
  <c r="K25" i="30"/>
  <c r="K32"/>
  <c r="K27"/>
  <c r="P16" i="38" l="1"/>
  <c r="N16"/>
  <c r="M119"/>
  <c r="N45" i="36"/>
  <c r="P45"/>
  <c r="N25"/>
  <c r="P25"/>
  <c r="P16"/>
  <c r="N16"/>
  <c r="J16" i="38" s="1"/>
  <c r="M119" i="36"/>
  <c r="I119" i="38" s="1"/>
  <c r="N28" i="35"/>
  <c r="P28"/>
  <c r="N31"/>
  <c r="P31"/>
  <c r="M34"/>
  <c r="N34" s="1"/>
  <c r="N116" i="34"/>
  <c r="P116"/>
  <c r="H76"/>
  <c r="H105"/>
  <c r="H20" i="35"/>
  <c r="P20"/>
  <c r="N20"/>
  <c r="L20"/>
  <c r="H34"/>
  <c r="H33"/>
  <c r="H32"/>
  <c r="H27"/>
  <c r="H26"/>
  <c r="H19"/>
  <c r="H30"/>
  <c r="H17"/>
  <c r="H25"/>
  <c r="H23"/>
  <c r="H24"/>
  <c r="H31"/>
  <c r="H22"/>
  <c r="H18"/>
  <c r="H29"/>
  <c r="H15"/>
  <c r="H16"/>
  <c r="H28"/>
  <c r="L25"/>
  <c r="M25"/>
  <c r="L34"/>
  <c r="H21"/>
  <c r="L105" i="34"/>
  <c r="M105"/>
  <c r="M119" s="1"/>
  <c r="N16"/>
  <c r="J16" i="36" s="1"/>
  <c r="P16" i="34"/>
  <c r="K119"/>
  <c r="L119" s="1"/>
  <c r="G127"/>
  <c r="N110"/>
  <c r="P110"/>
  <c r="H119"/>
  <c r="H118"/>
  <c r="H117"/>
  <c r="H107"/>
  <c r="H106"/>
  <c r="H103"/>
  <c r="H102"/>
  <c r="H101"/>
  <c r="H97"/>
  <c r="H96"/>
  <c r="H78"/>
  <c r="H74"/>
  <c r="H52"/>
  <c r="H49"/>
  <c r="H39"/>
  <c r="H35"/>
  <c r="H32"/>
  <c r="H22"/>
  <c r="H18"/>
  <c r="H112"/>
  <c r="H100"/>
  <c r="H51"/>
  <c r="H48"/>
  <c r="H38"/>
  <c r="H34"/>
  <c r="H31"/>
  <c r="H21"/>
  <c r="H111"/>
  <c r="H109"/>
  <c r="H92"/>
  <c r="H67"/>
  <c r="H66"/>
  <c r="H55"/>
  <c r="H47"/>
  <c r="H44"/>
  <c r="H43"/>
  <c r="H42"/>
  <c r="H37"/>
  <c r="H30"/>
  <c r="H29"/>
  <c r="H28"/>
  <c r="H27"/>
  <c r="H26"/>
  <c r="H25"/>
  <c r="H24"/>
  <c r="H20"/>
  <c r="H115"/>
  <c r="H108"/>
  <c r="H94"/>
  <c r="H93"/>
  <c r="H91"/>
  <c r="H90"/>
  <c r="H87"/>
  <c r="H86"/>
  <c r="H85"/>
  <c r="H84"/>
  <c r="H81"/>
  <c r="H80"/>
  <c r="H79"/>
  <c r="H71"/>
  <c r="H70"/>
  <c r="H69"/>
  <c r="H68"/>
  <c r="H65"/>
  <c r="H64"/>
  <c r="H63"/>
  <c r="H62"/>
  <c r="H59"/>
  <c r="H58"/>
  <c r="H57"/>
  <c r="H56"/>
  <c r="H53"/>
  <c r="H46"/>
  <c r="H40"/>
  <c r="H36"/>
  <c r="H23"/>
  <c r="H19"/>
  <c r="H113"/>
  <c r="H17"/>
  <c r="H73"/>
  <c r="H45"/>
  <c r="H114"/>
  <c r="H61"/>
  <c r="H110"/>
  <c r="H33"/>
  <c r="H95"/>
  <c r="H41"/>
  <c r="H89"/>
  <c r="H99"/>
  <c r="H116"/>
  <c r="H77"/>
  <c r="H16"/>
  <c r="H83"/>
  <c r="H50"/>
  <c r="L70"/>
  <c r="M70"/>
  <c r="P72"/>
  <c r="H72"/>
  <c r="P98"/>
  <c r="P34" i="33"/>
  <c r="L25"/>
  <c r="M25"/>
  <c r="N26"/>
  <c r="P26"/>
  <c r="N113" i="32"/>
  <c r="P113"/>
  <c r="L105"/>
  <c r="N70"/>
  <c r="P70"/>
  <c r="H119"/>
  <c r="H100"/>
  <c r="H66"/>
  <c r="H30"/>
  <c r="H23"/>
  <c r="H19"/>
  <c r="H115"/>
  <c r="H114"/>
  <c r="H85"/>
  <c r="H79"/>
  <c r="H71"/>
  <c r="H65"/>
  <c r="H64"/>
  <c r="H63"/>
  <c r="H62"/>
  <c r="H59"/>
  <c r="H58"/>
  <c r="H57"/>
  <c r="H56"/>
  <c r="H53"/>
  <c r="H49"/>
  <c r="H22"/>
  <c r="H48"/>
  <c r="H47"/>
  <c r="H44"/>
  <c r="H42"/>
  <c r="H32"/>
  <c r="H109"/>
  <c r="H108"/>
  <c r="H94"/>
  <c r="H91"/>
  <c r="H87"/>
  <c r="H78"/>
  <c r="H74"/>
  <c r="H118"/>
  <c r="H112"/>
  <c r="H111"/>
  <c r="H110"/>
  <c r="H107"/>
  <c r="H106"/>
  <c r="H103"/>
  <c r="H102"/>
  <c r="H101"/>
  <c r="H97"/>
  <c r="H96"/>
  <c r="H46"/>
  <c r="H40"/>
  <c r="H39"/>
  <c r="H38"/>
  <c r="H37"/>
  <c r="H36"/>
  <c r="H35"/>
  <c r="H34"/>
  <c r="H31"/>
  <c r="H28"/>
  <c r="H27"/>
  <c r="H26"/>
  <c r="H24"/>
  <c r="H20"/>
  <c r="H92"/>
  <c r="H84"/>
  <c r="H81"/>
  <c r="H80"/>
  <c r="H70"/>
  <c r="H69"/>
  <c r="H68"/>
  <c r="H18"/>
  <c r="H17"/>
  <c r="H52"/>
  <c r="H51"/>
  <c r="H50"/>
  <c r="H43"/>
  <c r="H21"/>
  <c r="H72"/>
  <c r="H95"/>
  <c r="H45"/>
  <c r="H105"/>
  <c r="H33"/>
  <c r="H90"/>
  <c r="H117"/>
  <c r="H86"/>
  <c r="H55"/>
  <c r="H67"/>
  <c r="H61"/>
  <c r="H73"/>
  <c r="H76"/>
  <c r="H89"/>
  <c r="H41"/>
  <c r="H116"/>
  <c r="H99"/>
  <c r="H113"/>
  <c r="H29"/>
  <c r="H93"/>
  <c r="H25"/>
  <c r="H77"/>
  <c r="K119"/>
  <c r="L119" s="1"/>
  <c r="P98"/>
  <c r="N106"/>
  <c r="P106"/>
  <c r="P83"/>
  <c r="H98"/>
  <c r="J27" i="31"/>
  <c r="L33"/>
  <c r="K32"/>
  <c r="K31" s="1"/>
  <c r="G32"/>
  <c r="G31" s="1"/>
  <c r="L30"/>
  <c r="K29"/>
  <c r="G29"/>
  <c r="G28" s="1"/>
  <c r="G26"/>
  <c r="G25"/>
  <c r="G24"/>
  <c r="K23"/>
  <c r="G22"/>
  <c r="G21" s="1"/>
  <c r="K21"/>
  <c r="G19"/>
  <c r="K18"/>
  <c r="G18"/>
  <c r="L17"/>
  <c r="K16"/>
  <c r="G16"/>
  <c r="I30" i="30"/>
  <c r="J30"/>
  <c r="I31"/>
  <c r="J31"/>
  <c r="I38"/>
  <c r="J38"/>
  <c r="I40"/>
  <c r="J40"/>
  <c r="I42"/>
  <c r="J42"/>
  <c r="I43"/>
  <c r="J43"/>
  <c r="I44"/>
  <c r="J44"/>
  <c r="I54"/>
  <c r="J54"/>
  <c r="I60"/>
  <c r="J60"/>
  <c r="I75"/>
  <c r="J75"/>
  <c r="I82"/>
  <c r="J82"/>
  <c r="I88"/>
  <c r="J88"/>
  <c r="I92"/>
  <c r="J92"/>
  <c r="I101"/>
  <c r="J101"/>
  <c r="I104"/>
  <c r="J104"/>
  <c r="I109"/>
  <c r="J109"/>
  <c r="L118"/>
  <c r="K117"/>
  <c r="G117"/>
  <c r="G116" s="1"/>
  <c r="L115"/>
  <c r="K114"/>
  <c r="K113" s="1"/>
  <c r="G114"/>
  <c r="G113" s="1"/>
  <c r="L111"/>
  <c r="K110"/>
  <c r="G110"/>
  <c r="L108"/>
  <c r="L107"/>
  <c r="K106"/>
  <c r="G106"/>
  <c r="L103"/>
  <c r="K102"/>
  <c r="G102"/>
  <c r="L100"/>
  <c r="K99"/>
  <c r="L99" s="1"/>
  <c r="G99"/>
  <c r="L97"/>
  <c r="K96"/>
  <c r="G96"/>
  <c r="G95" s="1"/>
  <c r="L94"/>
  <c r="K93"/>
  <c r="G93"/>
  <c r="P92"/>
  <c r="L91"/>
  <c r="K90"/>
  <c r="G90"/>
  <c r="G89"/>
  <c r="L87"/>
  <c r="K86"/>
  <c r="G86"/>
  <c r="L85"/>
  <c r="K84"/>
  <c r="G84"/>
  <c r="L81"/>
  <c r="K80"/>
  <c r="G80"/>
  <c r="L79"/>
  <c r="L78"/>
  <c r="K77"/>
  <c r="L77" s="1"/>
  <c r="G77"/>
  <c r="G76" s="1"/>
  <c r="G121" s="1"/>
  <c r="L74"/>
  <c r="K73"/>
  <c r="G73"/>
  <c r="G72" s="1"/>
  <c r="L71"/>
  <c r="G70"/>
  <c r="L69"/>
  <c r="K68"/>
  <c r="K67" s="1"/>
  <c r="G68"/>
  <c r="L66"/>
  <c r="L65"/>
  <c r="K64"/>
  <c r="G64"/>
  <c r="L63"/>
  <c r="K62"/>
  <c r="G62"/>
  <c r="G61" s="1"/>
  <c r="G60" s="1"/>
  <c r="L59"/>
  <c r="K58"/>
  <c r="G58"/>
  <c r="L57"/>
  <c r="K56"/>
  <c r="K55" s="1"/>
  <c r="G56"/>
  <c r="L53"/>
  <c r="L52"/>
  <c r="L51"/>
  <c r="K50"/>
  <c r="G50"/>
  <c r="K45"/>
  <c r="L48"/>
  <c r="L47"/>
  <c r="L46"/>
  <c r="G45"/>
  <c r="G41"/>
  <c r="L39"/>
  <c r="L37"/>
  <c r="L36"/>
  <c r="L35"/>
  <c r="L34"/>
  <c r="G33"/>
  <c r="L32"/>
  <c r="K29"/>
  <c r="G29"/>
  <c r="L28"/>
  <c r="L27"/>
  <c r="L26"/>
  <c r="G25"/>
  <c r="L24"/>
  <c r="L23"/>
  <c r="L22"/>
  <c r="L21"/>
  <c r="L20"/>
  <c r="L19"/>
  <c r="L18"/>
  <c r="K17"/>
  <c r="G17"/>
  <c r="K26" i="28"/>
  <c r="K27"/>
  <c r="K49"/>
  <c r="P119" i="38" l="1"/>
  <c r="N119"/>
  <c r="P119" i="36"/>
  <c r="N119"/>
  <c r="J119" i="38" s="1"/>
  <c r="N119" i="34"/>
  <c r="J119" i="36" s="1"/>
  <c r="I119"/>
  <c r="P34" i="35"/>
  <c r="N25"/>
  <c r="P25"/>
  <c r="P119" i="34"/>
  <c r="N70"/>
  <c r="P70"/>
  <c r="N105"/>
  <c r="P105"/>
  <c r="N25" i="33"/>
  <c r="P25"/>
  <c r="L62" i="30"/>
  <c r="L96"/>
  <c r="G105"/>
  <c r="L29"/>
  <c r="G55"/>
  <c r="G83"/>
  <c r="L86"/>
  <c r="L90"/>
  <c r="L93"/>
  <c r="L73"/>
  <c r="G98"/>
  <c r="L102"/>
  <c r="L29" i="31"/>
  <c r="K98" i="30"/>
  <c r="L25"/>
  <c r="L33"/>
  <c r="G67"/>
  <c r="G54" s="1"/>
  <c r="G124" s="1"/>
  <c r="L84"/>
  <c r="L110"/>
  <c r="L117"/>
  <c r="K15" i="31"/>
  <c r="G16" i="30"/>
  <c r="G120" s="1"/>
  <c r="K83"/>
  <c r="G88"/>
  <c r="G126"/>
  <c r="K28" i="31"/>
  <c r="K72" i="30"/>
  <c r="L72" s="1"/>
  <c r="L32" i="31"/>
  <c r="L17" i="30"/>
  <c r="L56"/>
  <c r="L58"/>
  <c r="K61"/>
  <c r="L61" s="1"/>
  <c r="L64"/>
  <c r="L68"/>
  <c r="K76"/>
  <c r="L80"/>
  <c r="K89"/>
  <c r="L89" s="1"/>
  <c r="K95"/>
  <c r="L95" s="1"/>
  <c r="L106"/>
  <c r="L114"/>
  <c r="K116"/>
  <c r="L116" s="1"/>
  <c r="L18" i="31"/>
  <c r="L98" i="30"/>
  <c r="L31" i="31"/>
  <c r="L50" i="30"/>
  <c r="G125"/>
  <c r="G15" i="31"/>
  <c r="L21"/>
  <c r="L112" i="30"/>
  <c r="L16" i="31"/>
  <c r="L19"/>
  <c r="L24"/>
  <c r="L22"/>
  <c r="G23"/>
  <c r="G34" s="1"/>
  <c r="K105" i="30"/>
  <c r="L105" s="1"/>
  <c r="K16"/>
  <c r="L45"/>
  <c r="L49"/>
  <c r="G75"/>
  <c r="G104"/>
  <c r="G123"/>
  <c r="L55"/>
  <c r="G82"/>
  <c r="L113"/>
  <c r="G122"/>
  <c r="G15"/>
  <c r="L41"/>
  <c r="K112" i="28"/>
  <c r="K32"/>
  <c r="J27" i="29"/>
  <c r="I30" i="28"/>
  <c r="J30"/>
  <c r="I31"/>
  <c r="J31"/>
  <c r="I38"/>
  <c r="J38"/>
  <c r="I40"/>
  <c r="J40"/>
  <c r="I42"/>
  <c r="J42"/>
  <c r="I43"/>
  <c r="J43"/>
  <c r="I44"/>
  <c r="J44"/>
  <c r="I54"/>
  <c r="J54"/>
  <c r="I60"/>
  <c r="J60"/>
  <c r="I75"/>
  <c r="J75"/>
  <c r="I82"/>
  <c r="J82"/>
  <c r="I88"/>
  <c r="J88"/>
  <c r="I92"/>
  <c r="J92"/>
  <c r="I101"/>
  <c r="J101"/>
  <c r="I104"/>
  <c r="J104"/>
  <c r="I109"/>
  <c r="J109"/>
  <c r="L33" i="29"/>
  <c r="K32"/>
  <c r="G32"/>
  <c r="G31" s="1"/>
  <c r="L30"/>
  <c r="K29"/>
  <c r="G29"/>
  <c r="G28" s="1"/>
  <c r="K28"/>
  <c r="K26" s="1"/>
  <c r="G26"/>
  <c r="G25" s="1"/>
  <c r="G24"/>
  <c r="G23" s="1"/>
  <c r="K23"/>
  <c r="G22"/>
  <c r="K21"/>
  <c r="K20" s="1"/>
  <c r="G19"/>
  <c r="G18" s="1"/>
  <c r="K18"/>
  <c r="L17"/>
  <c r="K16"/>
  <c r="G16"/>
  <c r="G15" s="1"/>
  <c r="L118" i="28"/>
  <c r="K117"/>
  <c r="K116" s="1"/>
  <c r="G117"/>
  <c r="G116" s="1"/>
  <c r="L115"/>
  <c r="K114"/>
  <c r="K113" s="1"/>
  <c r="G114"/>
  <c r="G113"/>
  <c r="L111"/>
  <c r="K110"/>
  <c r="G110"/>
  <c r="P109"/>
  <c r="L108"/>
  <c r="L107"/>
  <c r="K106"/>
  <c r="G106"/>
  <c r="G105" s="1"/>
  <c r="L103"/>
  <c r="K102"/>
  <c r="G102"/>
  <c r="L100"/>
  <c r="K99"/>
  <c r="G99"/>
  <c r="L97"/>
  <c r="K96"/>
  <c r="K95" s="1"/>
  <c r="G96"/>
  <c r="G95" s="1"/>
  <c r="L94"/>
  <c r="K93"/>
  <c r="G93"/>
  <c r="P92"/>
  <c r="L91"/>
  <c r="K90"/>
  <c r="K89" s="1"/>
  <c r="G90"/>
  <c r="G89" s="1"/>
  <c r="L87"/>
  <c r="K86"/>
  <c r="G86"/>
  <c r="L85"/>
  <c r="K84"/>
  <c r="G84"/>
  <c r="G83" s="1"/>
  <c r="L81"/>
  <c r="K80"/>
  <c r="G80"/>
  <c r="L79"/>
  <c r="L78"/>
  <c r="K77"/>
  <c r="K76" s="1"/>
  <c r="K70" s="1"/>
  <c r="G77"/>
  <c r="L74"/>
  <c r="K73"/>
  <c r="G73"/>
  <c r="G72" s="1"/>
  <c r="K72"/>
  <c r="L71"/>
  <c r="G70"/>
  <c r="L69"/>
  <c r="K68"/>
  <c r="G68"/>
  <c r="L66"/>
  <c r="L65"/>
  <c r="K64"/>
  <c r="G64"/>
  <c r="L63"/>
  <c r="K62"/>
  <c r="G62"/>
  <c r="L59"/>
  <c r="K58"/>
  <c r="G58"/>
  <c r="L57"/>
  <c r="K56"/>
  <c r="G56"/>
  <c r="L53"/>
  <c r="L52"/>
  <c r="L51"/>
  <c r="K50"/>
  <c r="G50"/>
  <c r="L49"/>
  <c r="L48"/>
  <c r="L47"/>
  <c r="L46"/>
  <c r="K45"/>
  <c r="G45"/>
  <c r="G41"/>
  <c r="L39"/>
  <c r="L37"/>
  <c r="L36"/>
  <c r="L35"/>
  <c r="L34"/>
  <c r="K33"/>
  <c r="G33"/>
  <c r="L32"/>
  <c r="K29"/>
  <c r="G29"/>
  <c r="L28"/>
  <c r="L27"/>
  <c r="L26"/>
  <c r="G25"/>
  <c r="L24"/>
  <c r="L23"/>
  <c r="L22"/>
  <c r="L21"/>
  <c r="L20"/>
  <c r="L19"/>
  <c r="L18"/>
  <c r="K17"/>
  <c r="G17"/>
  <c r="K112" i="26"/>
  <c r="K49"/>
  <c r="K39"/>
  <c r="L39" s="1"/>
  <c r="L33" i="27"/>
  <c r="K32"/>
  <c r="G32"/>
  <c r="L30"/>
  <c r="K29"/>
  <c r="G29"/>
  <c r="G26"/>
  <c r="G25" s="1"/>
  <c r="G24"/>
  <c r="L24" s="1"/>
  <c r="K23"/>
  <c r="G22"/>
  <c r="L22" s="1"/>
  <c r="K21"/>
  <c r="G19"/>
  <c r="L19" s="1"/>
  <c r="K18"/>
  <c r="L17"/>
  <c r="K16"/>
  <c r="K15" s="1"/>
  <c r="G16"/>
  <c r="M27" i="25"/>
  <c r="P27" s="1"/>
  <c r="G26"/>
  <c r="G25" s="1"/>
  <c r="G24"/>
  <c r="G22"/>
  <c r="G19"/>
  <c r="K26" i="26"/>
  <c r="I30"/>
  <c r="J30"/>
  <c r="I31"/>
  <c r="J31"/>
  <c r="I38"/>
  <c r="J38"/>
  <c r="I40"/>
  <c r="J40"/>
  <c r="I42"/>
  <c r="J42"/>
  <c r="I43"/>
  <c r="J43"/>
  <c r="I44"/>
  <c r="J44"/>
  <c r="I54"/>
  <c r="J54"/>
  <c r="I60"/>
  <c r="J60"/>
  <c r="I75"/>
  <c r="J75"/>
  <c r="I82"/>
  <c r="J82"/>
  <c r="I88"/>
  <c r="J88"/>
  <c r="I92"/>
  <c r="J92"/>
  <c r="I101"/>
  <c r="J101"/>
  <c r="I104"/>
  <c r="J104"/>
  <c r="I109"/>
  <c r="J109"/>
  <c r="L118"/>
  <c r="K117"/>
  <c r="G117"/>
  <c r="G116" s="1"/>
  <c r="L115"/>
  <c r="K114"/>
  <c r="G114"/>
  <c r="G113" s="1"/>
  <c r="L111"/>
  <c r="K110"/>
  <c r="G110"/>
  <c r="P109"/>
  <c r="L108"/>
  <c r="L107"/>
  <c r="K106"/>
  <c r="G106"/>
  <c r="L103"/>
  <c r="K102"/>
  <c r="G102"/>
  <c r="L100"/>
  <c r="K99"/>
  <c r="K98" s="1"/>
  <c r="G99"/>
  <c r="L97"/>
  <c r="K96"/>
  <c r="K95" s="1"/>
  <c r="G96"/>
  <c r="G95" s="1"/>
  <c r="L94"/>
  <c r="K93"/>
  <c r="G93"/>
  <c r="P92"/>
  <c r="L91"/>
  <c r="K90"/>
  <c r="K89" s="1"/>
  <c r="G90"/>
  <c r="L87"/>
  <c r="K86"/>
  <c r="G86"/>
  <c r="L85"/>
  <c r="K84"/>
  <c r="K83" s="1"/>
  <c r="G84"/>
  <c r="L81"/>
  <c r="K80"/>
  <c r="G80"/>
  <c r="L79"/>
  <c r="L78"/>
  <c r="K77"/>
  <c r="K76" s="1"/>
  <c r="G77"/>
  <c r="L74"/>
  <c r="K73"/>
  <c r="G73"/>
  <c r="G72" s="1"/>
  <c r="K72"/>
  <c r="L71"/>
  <c r="G70"/>
  <c r="L69"/>
  <c r="K68"/>
  <c r="K67" s="1"/>
  <c r="G68"/>
  <c r="G67" s="1"/>
  <c r="L66"/>
  <c r="L65"/>
  <c r="K64"/>
  <c r="G64"/>
  <c r="L63"/>
  <c r="K62"/>
  <c r="G62"/>
  <c r="G61" s="1"/>
  <c r="G60" s="1"/>
  <c r="L59"/>
  <c r="K58"/>
  <c r="G58"/>
  <c r="L57"/>
  <c r="K56"/>
  <c r="K55" s="1"/>
  <c r="G56"/>
  <c r="L53"/>
  <c r="L52"/>
  <c r="L51"/>
  <c r="K50"/>
  <c r="L50" s="1"/>
  <c r="G50"/>
  <c r="L49"/>
  <c r="L48"/>
  <c r="L47"/>
  <c r="L46"/>
  <c r="G45"/>
  <c r="G41"/>
  <c r="L37"/>
  <c r="L36"/>
  <c r="L35"/>
  <c r="L34"/>
  <c r="K33"/>
  <c r="L33" s="1"/>
  <c r="G33"/>
  <c r="L32"/>
  <c r="K29"/>
  <c r="G29"/>
  <c r="L28"/>
  <c r="L27"/>
  <c r="K25"/>
  <c r="G25"/>
  <c r="L24"/>
  <c r="L23"/>
  <c r="L22"/>
  <c r="L21"/>
  <c r="L20"/>
  <c r="L19"/>
  <c r="L18"/>
  <c r="K17"/>
  <c r="G17"/>
  <c r="K49" i="18"/>
  <c r="K112"/>
  <c r="K26"/>
  <c r="G68"/>
  <c r="G70"/>
  <c r="G73"/>
  <c r="G72" s="1"/>
  <c r="G106"/>
  <c r="M107"/>
  <c r="N107" s="1"/>
  <c r="J107" i="26" s="1"/>
  <c r="L107" i="18"/>
  <c r="J107"/>
  <c r="G99"/>
  <c r="G93"/>
  <c r="M94"/>
  <c r="N94" s="1"/>
  <c r="J94" i="26" s="1"/>
  <c r="L94" i="18"/>
  <c r="J94"/>
  <c r="K93"/>
  <c r="G90"/>
  <c r="M74"/>
  <c r="N74" s="1"/>
  <c r="J74" i="26" s="1"/>
  <c r="L74" i="18"/>
  <c r="J74"/>
  <c r="K73"/>
  <c r="K72" s="1"/>
  <c r="I73"/>
  <c r="M71"/>
  <c r="N71" s="1"/>
  <c r="J71" i="26" s="1"/>
  <c r="L71" i="18"/>
  <c r="J71"/>
  <c r="M59"/>
  <c r="N59" s="1"/>
  <c r="J59" i="26" s="1"/>
  <c r="L59" i="18"/>
  <c r="J59"/>
  <c r="K58"/>
  <c r="I58"/>
  <c r="G58"/>
  <c r="G41"/>
  <c r="G33"/>
  <c r="G55" i="28" l="1"/>
  <c r="G61"/>
  <c r="L68"/>
  <c r="G126"/>
  <c r="G89" i="18"/>
  <c r="L77" i="28"/>
  <c r="L62" i="26"/>
  <c r="L56" i="28"/>
  <c r="K67"/>
  <c r="G67"/>
  <c r="L102"/>
  <c r="L83" i="30"/>
  <c r="L110" i="26"/>
  <c r="L114"/>
  <c r="L117"/>
  <c r="G23" i="27"/>
  <c r="K55" i="28"/>
  <c r="L15" i="31"/>
  <c r="L29" i="28"/>
  <c r="L64"/>
  <c r="L73"/>
  <c r="L110"/>
  <c r="L116"/>
  <c r="G105" i="26"/>
  <c r="G104" s="1"/>
  <c r="L70" i="28"/>
  <c r="L84"/>
  <c r="G54"/>
  <c r="G124" s="1"/>
  <c r="L72"/>
  <c r="L117"/>
  <c r="L95" i="26"/>
  <c r="K105"/>
  <c r="K61" i="28"/>
  <c r="G76"/>
  <c r="G121" s="1"/>
  <c r="L86"/>
  <c r="L93"/>
  <c r="L114"/>
  <c r="L28" i="29"/>
  <c r="G119" i="30"/>
  <c r="H67" s="1"/>
  <c r="L67"/>
  <c r="G127"/>
  <c r="M58" i="18"/>
  <c r="N58" s="1"/>
  <c r="J58" i="26" s="1"/>
  <c r="L25"/>
  <c r="L29"/>
  <c r="L56"/>
  <c r="L58"/>
  <c r="G83"/>
  <c r="L86"/>
  <c r="G98"/>
  <c r="L102"/>
  <c r="L17" i="28"/>
  <c r="L33"/>
  <c r="L58"/>
  <c r="L106"/>
  <c r="L113"/>
  <c r="L16" i="29"/>
  <c r="L23"/>
  <c r="L26"/>
  <c r="L29"/>
  <c r="L32"/>
  <c r="L67" i="28"/>
  <c r="H15" i="31"/>
  <c r="H16"/>
  <c r="H24"/>
  <c r="H31"/>
  <c r="G122" i="26"/>
  <c r="G82"/>
  <c r="L83"/>
  <c r="L105"/>
  <c r="I94"/>
  <c r="M94" s="1"/>
  <c r="I74"/>
  <c r="M74" s="1"/>
  <c r="I58"/>
  <c r="M58" s="1"/>
  <c r="I27" i="27"/>
  <c r="M27" s="1"/>
  <c r="L61" i="28"/>
  <c r="L89"/>
  <c r="L95"/>
  <c r="L96"/>
  <c r="H68" i="30"/>
  <c r="H58"/>
  <c r="H102"/>
  <c r="H77"/>
  <c r="H42"/>
  <c r="H109"/>
  <c r="H43"/>
  <c r="L76"/>
  <c r="K70"/>
  <c r="L70" s="1"/>
  <c r="J58" i="18"/>
  <c r="P107"/>
  <c r="G55" i="26"/>
  <c r="L64"/>
  <c r="L72"/>
  <c r="L73"/>
  <c r="G76"/>
  <c r="L80"/>
  <c r="L106"/>
  <c r="K116"/>
  <c r="L116" s="1"/>
  <c r="L16" i="27"/>
  <c r="L32"/>
  <c r="L62" i="28"/>
  <c r="L80"/>
  <c r="L90"/>
  <c r="L99"/>
  <c r="H90" i="30"/>
  <c r="H76"/>
  <c r="H70"/>
  <c r="H62"/>
  <c r="H25"/>
  <c r="H29"/>
  <c r="L55" i="26"/>
  <c r="K61"/>
  <c r="L61" s="1"/>
  <c r="L67"/>
  <c r="L84"/>
  <c r="L93"/>
  <c r="K113"/>
  <c r="L113" s="1"/>
  <c r="I107"/>
  <c r="M107" s="1"/>
  <c r="I71"/>
  <c r="M71" s="1"/>
  <c r="I59"/>
  <c r="M59" s="1"/>
  <c r="G18" i="27"/>
  <c r="G15" s="1"/>
  <c r="L15" s="1"/>
  <c r="G21"/>
  <c r="G20" s="1"/>
  <c r="L23"/>
  <c r="L29"/>
  <c r="N27" i="25"/>
  <c r="J27" i="27" s="1"/>
  <c r="L45" i="28"/>
  <c r="L50"/>
  <c r="K83"/>
  <c r="L83" s="1"/>
  <c r="K15" i="29"/>
  <c r="L15" s="1"/>
  <c r="L18"/>
  <c r="K25"/>
  <c r="L25" s="1"/>
  <c r="K31"/>
  <c r="L31" s="1"/>
  <c r="H17" i="30"/>
  <c r="H110"/>
  <c r="H114"/>
  <c r="H95"/>
  <c r="H72"/>
  <c r="H64"/>
  <c r="L28" i="31"/>
  <c r="K20"/>
  <c r="K34" s="1"/>
  <c r="L34" s="1"/>
  <c r="K26"/>
  <c r="L17" i="26"/>
  <c r="L90"/>
  <c r="L76" i="28"/>
  <c r="H33" i="30"/>
  <c r="H16"/>
  <c r="H21" i="31"/>
  <c r="H25"/>
  <c r="H26"/>
  <c r="H34"/>
  <c r="H33"/>
  <c r="H27"/>
  <c r="H28"/>
  <c r="H22"/>
  <c r="H30"/>
  <c r="H17"/>
  <c r="H18"/>
  <c r="H19"/>
  <c r="H32"/>
  <c r="L23"/>
  <c r="H23"/>
  <c r="G20"/>
  <c r="H29"/>
  <c r="H98" i="30"/>
  <c r="H117"/>
  <c r="H119"/>
  <c r="H118"/>
  <c r="H107"/>
  <c r="H103"/>
  <c r="H101"/>
  <c r="H97"/>
  <c r="H78"/>
  <c r="H74"/>
  <c r="H52"/>
  <c r="H48"/>
  <c r="H37"/>
  <c r="H30"/>
  <c r="H28"/>
  <c r="H27"/>
  <c r="H26"/>
  <c r="H23"/>
  <c r="H19"/>
  <c r="H112"/>
  <c r="H100"/>
  <c r="H99"/>
  <c r="H51"/>
  <c r="H50"/>
  <c r="H47"/>
  <c r="H44"/>
  <c r="H40"/>
  <c r="H36"/>
  <c r="H22"/>
  <c r="H18"/>
  <c r="H21"/>
  <c r="H113"/>
  <c r="H111"/>
  <c r="H92"/>
  <c r="H66"/>
  <c r="H55"/>
  <c r="H46"/>
  <c r="H39"/>
  <c r="H35"/>
  <c r="H32"/>
  <c r="H115"/>
  <c r="H108"/>
  <c r="H94"/>
  <c r="H91"/>
  <c r="H87"/>
  <c r="H85"/>
  <c r="H81"/>
  <c r="H79"/>
  <c r="H71"/>
  <c r="H69"/>
  <c r="H65"/>
  <c r="H63"/>
  <c r="H59"/>
  <c r="H57"/>
  <c r="H53"/>
  <c r="H49"/>
  <c r="H38"/>
  <c r="H34"/>
  <c r="H31"/>
  <c r="H24"/>
  <c r="H20"/>
  <c r="K119"/>
  <c r="L119" s="1"/>
  <c r="L16"/>
  <c r="H93"/>
  <c r="H80"/>
  <c r="H56"/>
  <c r="H96"/>
  <c r="H73"/>
  <c r="L112" i="28"/>
  <c r="K105"/>
  <c r="L19" i="29"/>
  <c r="K34"/>
  <c r="L24"/>
  <c r="L22"/>
  <c r="G21"/>
  <c r="G16" i="28"/>
  <c r="K25"/>
  <c r="L25" s="1"/>
  <c r="G75"/>
  <c r="G98"/>
  <c r="G125" s="1"/>
  <c r="K98"/>
  <c r="G104"/>
  <c r="G123"/>
  <c r="L55"/>
  <c r="G60"/>
  <c r="G82"/>
  <c r="G122"/>
  <c r="L41"/>
  <c r="G28" i="27"/>
  <c r="K28"/>
  <c r="G31"/>
  <c r="K31"/>
  <c r="G34"/>
  <c r="H20" s="1"/>
  <c r="P74" i="26"/>
  <c r="G75"/>
  <c r="G121"/>
  <c r="G54"/>
  <c r="G124" s="1"/>
  <c r="K70"/>
  <c r="L70" s="1"/>
  <c r="L76"/>
  <c r="L98"/>
  <c r="G16"/>
  <c r="L41"/>
  <c r="L26"/>
  <c r="K45"/>
  <c r="L45" s="1"/>
  <c r="P58"/>
  <c r="P94"/>
  <c r="N107"/>
  <c r="J107" i="28" s="1"/>
  <c r="L112" i="26"/>
  <c r="G123"/>
  <c r="L68"/>
  <c r="L77"/>
  <c r="G89"/>
  <c r="L89" s="1"/>
  <c r="L96"/>
  <c r="L99"/>
  <c r="G126"/>
  <c r="P74" i="18"/>
  <c r="P94"/>
  <c r="P71"/>
  <c r="L93"/>
  <c r="J73"/>
  <c r="M73"/>
  <c r="P73" s="1"/>
  <c r="I72"/>
  <c r="L73"/>
  <c r="L58"/>
  <c r="P58"/>
  <c r="P59"/>
  <c r="G80"/>
  <c r="M81"/>
  <c r="L81"/>
  <c r="J81"/>
  <c r="K80"/>
  <c r="I80"/>
  <c r="G64"/>
  <c r="G50"/>
  <c r="G45"/>
  <c r="G29"/>
  <c r="H32" i="27" l="1"/>
  <c r="H106" i="30"/>
  <c r="H84"/>
  <c r="H116"/>
  <c r="H61"/>
  <c r="H89"/>
  <c r="H41"/>
  <c r="H105"/>
  <c r="H83"/>
  <c r="H86"/>
  <c r="H45"/>
  <c r="N59" i="26"/>
  <c r="J59" i="28" s="1"/>
  <c r="I59"/>
  <c r="M59" s="1"/>
  <c r="P59" i="26"/>
  <c r="P27" i="27"/>
  <c r="I27" i="29"/>
  <c r="M27" s="1"/>
  <c r="N94" i="26"/>
  <c r="J94" i="28" s="1"/>
  <c r="I94"/>
  <c r="M94" s="1"/>
  <c r="H21" i="27"/>
  <c r="L18"/>
  <c r="N74" i="26"/>
  <c r="J74" i="28" s="1"/>
  <c r="I74"/>
  <c r="M74" s="1"/>
  <c r="N81" i="18"/>
  <c r="J81" i="26" s="1"/>
  <c r="I81"/>
  <c r="M81" s="1"/>
  <c r="N73" i="18"/>
  <c r="J73" i="26" s="1"/>
  <c r="I73"/>
  <c r="M73" s="1"/>
  <c r="L26" i="31"/>
  <c r="K25"/>
  <c r="L25" s="1"/>
  <c r="P107" i="26"/>
  <c r="I107" i="28"/>
  <c r="M107" s="1"/>
  <c r="N58" i="26"/>
  <c r="J58" i="28" s="1"/>
  <c r="I58"/>
  <c r="M58" s="1"/>
  <c r="H18" i="27"/>
  <c r="L21"/>
  <c r="P71" i="26"/>
  <c r="I71" i="28"/>
  <c r="M71" s="1"/>
  <c r="N71" i="26"/>
  <c r="J71" i="28" s="1"/>
  <c r="H29" i="27"/>
  <c r="H20" i="31"/>
  <c r="L20"/>
  <c r="K16" i="28"/>
  <c r="L16" s="1"/>
  <c r="L105"/>
  <c r="L21" i="29"/>
  <c r="G20"/>
  <c r="G34"/>
  <c r="L34" s="1"/>
  <c r="G88" i="28"/>
  <c r="L98"/>
  <c r="G120"/>
  <c r="G127" s="1"/>
  <c r="G15"/>
  <c r="G119"/>
  <c r="L28" i="27"/>
  <c r="K20"/>
  <c r="K26"/>
  <c r="H34"/>
  <c r="H27"/>
  <c r="H26"/>
  <c r="H24"/>
  <c r="H22"/>
  <c r="H33"/>
  <c r="H30"/>
  <c r="H17"/>
  <c r="H23"/>
  <c r="H19"/>
  <c r="H31"/>
  <c r="H25"/>
  <c r="H16"/>
  <c r="H28"/>
  <c r="H15"/>
  <c r="L31"/>
  <c r="K16" i="26"/>
  <c r="G125"/>
  <c r="G88"/>
  <c r="G120"/>
  <c r="G15"/>
  <c r="G119"/>
  <c r="H89" s="1"/>
  <c r="M72" i="18"/>
  <c r="I72" i="26" s="1"/>
  <c r="M72" s="1"/>
  <c r="M80" i="18"/>
  <c r="I80" i="26" s="1"/>
  <c r="M80" s="1"/>
  <c r="P81" i="18"/>
  <c r="I71" i="30" l="1"/>
  <c r="M71" s="1"/>
  <c r="N71" i="28"/>
  <c r="J71" i="30" s="1"/>
  <c r="P71" i="28"/>
  <c r="N58"/>
  <c r="J58" i="30" s="1"/>
  <c r="I58"/>
  <c r="M58" s="1"/>
  <c r="P58" i="28"/>
  <c r="P81" i="26"/>
  <c r="I81" i="28"/>
  <c r="M81" s="1"/>
  <c r="N81" i="26"/>
  <c r="J81" i="28" s="1"/>
  <c r="P27" i="29"/>
  <c r="I27" i="31"/>
  <c r="M27" s="1"/>
  <c r="P27" s="1"/>
  <c r="N80" i="26"/>
  <c r="J80" i="28" s="1"/>
  <c r="I80"/>
  <c r="M80" s="1"/>
  <c r="P80" i="26"/>
  <c r="I59" i="30"/>
  <c r="M59" s="1"/>
  <c r="P59" i="28"/>
  <c r="N59"/>
  <c r="J59" i="30" s="1"/>
  <c r="H43" i="26"/>
  <c r="H109"/>
  <c r="H42"/>
  <c r="N107" i="28"/>
  <c r="J107" i="30" s="1"/>
  <c r="I107"/>
  <c r="M107" s="1"/>
  <c r="P107" i="28"/>
  <c r="N73" i="26"/>
  <c r="J73" i="28" s="1"/>
  <c r="I73"/>
  <c r="M73" s="1"/>
  <c r="P73" i="26"/>
  <c r="N74" i="28"/>
  <c r="J74" i="30" s="1"/>
  <c r="I74"/>
  <c r="M74" s="1"/>
  <c r="P74" i="28"/>
  <c r="I94" i="30"/>
  <c r="M94" s="1"/>
  <c r="P94" i="28"/>
  <c r="N94"/>
  <c r="J94" i="30" s="1"/>
  <c r="N72" i="26"/>
  <c r="J72" i="28" s="1"/>
  <c r="I72"/>
  <c r="M72" s="1"/>
  <c r="P72" i="26"/>
  <c r="H98" i="28"/>
  <c r="H43"/>
  <c r="H109"/>
  <c r="H42"/>
  <c r="H16" i="26"/>
  <c r="K119" i="28"/>
  <c r="L119" s="1"/>
  <c r="H20" i="29"/>
  <c r="L20"/>
  <c r="H21"/>
  <c r="H34"/>
  <c r="H33"/>
  <c r="H27"/>
  <c r="H22"/>
  <c r="H30"/>
  <c r="H17"/>
  <c r="H19"/>
  <c r="H18"/>
  <c r="H16"/>
  <c r="H25"/>
  <c r="H23"/>
  <c r="H32"/>
  <c r="H26"/>
  <c r="H24"/>
  <c r="H31"/>
  <c r="H15"/>
  <c r="H29"/>
  <c r="H28"/>
  <c r="H16" i="28"/>
  <c r="H119"/>
  <c r="H118"/>
  <c r="H117"/>
  <c r="H107"/>
  <c r="H106"/>
  <c r="H103"/>
  <c r="H102"/>
  <c r="H101"/>
  <c r="H97"/>
  <c r="H96"/>
  <c r="H78"/>
  <c r="H77"/>
  <c r="H74"/>
  <c r="H73"/>
  <c r="H52"/>
  <c r="H48"/>
  <c r="H36"/>
  <c r="H30"/>
  <c r="H29"/>
  <c r="H28"/>
  <c r="H25"/>
  <c r="H24"/>
  <c r="H20"/>
  <c r="H112"/>
  <c r="H100"/>
  <c r="H51"/>
  <c r="H47"/>
  <c r="H44"/>
  <c r="H40"/>
  <c r="H39"/>
  <c r="H35"/>
  <c r="H27"/>
  <c r="H26"/>
  <c r="H23"/>
  <c r="H19"/>
  <c r="H113"/>
  <c r="H111"/>
  <c r="H92"/>
  <c r="H66"/>
  <c r="H55"/>
  <c r="H46"/>
  <c r="H38"/>
  <c r="H34"/>
  <c r="H32"/>
  <c r="H22"/>
  <c r="H18"/>
  <c r="H115"/>
  <c r="H108"/>
  <c r="H94"/>
  <c r="H91"/>
  <c r="H87"/>
  <c r="H85"/>
  <c r="H81"/>
  <c r="H79"/>
  <c r="H71"/>
  <c r="H69"/>
  <c r="H65"/>
  <c r="H63"/>
  <c r="H59"/>
  <c r="H57"/>
  <c r="H53"/>
  <c r="H49"/>
  <c r="H37"/>
  <c r="H31"/>
  <c r="H21"/>
  <c r="H105"/>
  <c r="H58"/>
  <c r="H70"/>
  <c r="H80"/>
  <c r="H93"/>
  <c r="H56"/>
  <c r="H68"/>
  <c r="H76"/>
  <c r="H90"/>
  <c r="H116"/>
  <c r="H61"/>
  <c r="H110"/>
  <c r="H45"/>
  <c r="H72"/>
  <c r="H95"/>
  <c r="H33"/>
  <c r="H64"/>
  <c r="H86"/>
  <c r="H114"/>
  <c r="H89"/>
  <c r="H41"/>
  <c r="H99"/>
  <c r="H62"/>
  <c r="H84"/>
  <c r="H17"/>
  <c r="H83"/>
  <c r="H67"/>
  <c r="H50"/>
  <c r="L20" i="27"/>
  <c r="K34"/>
  <c r="L34" s="1"/>
  <c r="L26"/>
  <c r="K25"/>
  <c r="K119" i="26"/>
  <c r="L119" s="1"/>
  <c r="L16"/>
  <c r="H119"/>
  <c r="H112"/>
  <c r="H101"/>
  <c r="H91"/>
  <c r="H85"/>
  <c r="H79"/>
  <c r="H65"/>
  <c r="H59"/>
  <c r="H53"/>
  <c r="H51"/>
  <c r="H40"/>
  <c r="H30"/>
  <c r="H26"/>
  <c r="H24"/>
  <c r="H22"/>
  <c r="H20"/>
  <c r="H18"/>
  <c r="H118"/>
  <c r="H115"/>
  <c r="H108"/>
  <c r="H74"/>
  <c r="H73"/>
  <c r="H71"/>
  <c r="H70"/>
  <c r="H44"/>
  <c r="H111"/>
  <c r="H103"/>
  <c r="H100"/>
  <c r="H97"/>
  <c r="H94"/>
  <c r="H92"/>
  <c r="H78"/>
  <c r="H69"/>
  <c r="H66"/>
  <c r="H107"/>
  <c r="H87"/>
  <c r="H81"/>
  <c r="H49"/>
  <c r="H47"/>
  <c r="H37"/>
  <c r="H35"/>
  <c r="H27"/>
  <c r="H117"/>
  <c r="H114"/>
  <c r="H63"/>
  <c r="H62"/>
  <c r="H57"/>
  <c r="H56"/>
  <c r="H48"/>
  <c r="H46"/>
  <c r="H38"/>
  <c r="H36"/>
  <c r="H34"/>
  <c r="H33"/>
  <c r="H31"/>
  <c r="H28"/>
  <c r="H52"/>
  <c r="H41"/>
  <c r="H39"/>
  <c r="H32"/>
  <c r="H23"/>
  <c r="H21"/>
  <c r="H19"/>
  <c r="H98"/>
  <c r="H93"/>
  <c r="H102"/>
  <c r="H29"/>
  <c r="H61"/>
  <c r="H113"/>
  <c r="H80"/>
  <c r="H86"/>
  <c r="H55"/>
  <c r="H116"/>
  <c r="H68"/>
  <c r="H96"/>
  <c r="H45"/>
  <c r="H84"/>
  <c r="H90"/>
  <c r="H95"/>
  <c r="H50"/>
  <c r="H17"/>
  <c r="H64"/>
  <c r="H110"/>
  <c r="H25"/>
  <c r="H77"/>
  <c r="H99"/>
  <c r="H83"/>
  <c r="H76"/>
  <c r="H72"/>
  <c r="H105"/>
  <c r="H67"/>
  <c r="H58"/>
  <c r="H106"/>
  <c r="G127"/>
  <c r="G77" i="18"/>
  <c r="G76" s="1"/>
  <c r="N73" i="28" l="1"/>
  <c r="J73" i="30" s="1"/>
  <c r="I73"/>
  <c r="M73" s="1"/>
  <c r="P73" i="28"/>
  <c r="N80"/>
  <c r="J80" i="30" s="1"/>
  <c r="I80"/>
  <c r="M80" s="1"/>
  <c r="P80" i="28"/>
  <c r="N58" i="30"/>
  <c r="P58"/>
  <c r="N71"/>
  <c r="P71"/>
  <c r="N72" i="28"/>
  <c r="J72" i="30" s="1"/>
  <c r="I72"/>
  <c r="M72" s="1"/>
  <c r="P72" i="28"/>
  <c r="N94" i="30"/>
  <c r="P94"/>
  <c r="P107"/>
  <c r="N107"/>
  <c r="P59"/>
  <c r="N59"/>
  <c r="P74"/>
  <c r="N74"/>
  <c r="I81"/>
  <c r="M81" s="1"/>
  <c r="P81" i="28"/>
  <c r="N81"/>
  <c r="J81" i="30" s="1"/>
  <c r="L25" i="27"/>
  <c r="M24" i="25"/>
  <c r="I24" i="27" s="1"/>
  <c r="M24" s="1"/>
  <c r="L24" i="25"/>
  <c r="J24"/>
  <c r="K23"/>
  <c r="I23"/>
  <c r="G23"/>
  <c r="M22"/>
  <c r="I22" i="27" s="1"/>
  <c r="M22" s="1"/>
  <c r="L22" i="25"/>
  <c r="J22"/>
  <c r="K21"/>
  <c r="I21"/>
  <c r="G21"/>
  <c r="N80" i="30" l="1"/>
  <c r="P80"/>
  <c r="P81"/>
  <c r="N81"/>
  <c r="N73"/>
  <c r="P73"/>
  <c r="P22" i="27"/>
  <c r="I22" i="29"/>
  <c r="M22" s="1"/>
  <c r="N22" i="27"/>
  <c r="J22" i="29" s="1"/>
  <c r="N24" i="27"/>
  <c r="J24" i="29" s="1"/>
  <c r="I24"/>
  <c r="M24" s="1"/>
  <c r="P24" i="27"/>
  <c r="N72" i="30"/>
  <c r="P72"/>
  <c r="N22" i="25"/>
  <c r="J22" i="27" s="1"/>
  <c r="N24" i="25"/>
  <c r="J24" i="27" s="1"/>
  <c r="P22" i="25"/>
  <c r="G20"/>
  <c r="J21"/>
  <c r="J23"/>
  <c r="L23"/>
  <c r="M23"/>
  <c r="I23" i="27" s="1"/>
  <c r="M23" s="1"/>
  <c r="P24" i="25"/>
  <c r="L21"/>
  <c r="M21"/>
  <c r="I21" i="27" s="1"/>
  <c r="M21" s="1"/>
  <c r="L118" i="18"/>
  <c r="J18"/>
  <c r="J19"/>
  <c r="J20"/>
  <c r="J21"/>
  <c r="J22"/>
  <c r="J23"/>
  <c r="J24"/>
  <c r="J26"/>
  <c r="J27"/>
  <c r="J28"/>
  <c r="J32"/>
  <c r="J34"/>
  <c r="J35"/>
  <c r="J36"/>
  <c r="J37"/>
  <c r="J39"/>
  <c r="J46"/>
  <c r="J47"/>
  <c r="J48"/>
  <c r="J49"/>
  <c r="J51"/>
  <c r="J52"/>
  <c r="J53"/>
  <c r="J57"/>
  <c r="J63"/>
  <c r="J65"/>
  <c r="J66"/>
  <c r="J69"/>
  <c r="J78"/>
  <c r="J79"/>
  <c r="J85"/>
  <c r="J87"/>
  <c r="J91"/>
  <c r="J92"/>
  <c r="J97"/>
  <c r="J100"/>
  <c r="J103"/>
  <c r="J108"/>
  <c r="J109"/>
  <c r="J111"/>
  <c r="J112"/>
  <c r="J115"/>
  <c r="J118"/>
  <c r="I25"/>
  <c r="P109"/>
  <c r="P92"/>
  <c r="K117"/>
  <c r="K116" s="1"/>
  <c r="I117"/>
  <c r="I116" s="1"/>
  <c r="K114"/>
  <c r="K113" s="1"/>
  <c r="I114"/>
  <c r="I113" s="1"/>
  <c r="I110"/>
  <c r="K106"/>
  <c r="I106"/>
  <c r="K102"/>
  <c r="I102"/>
  <c r="K99"/>
  <c r="I99"/>
  <c r="K96"/>
  <c r="K95" s="1"/>
  <c r="I96"/>
  <c r="I95" s="1"/>
  <c r="I93" s="1"/>
  <c r="I90"/>
  <c r="I89" s="1"/>
  <c r="K86"/>
  <c r="I86"/>
  <c r="I84"/>
  <c r="I77"/>
  <c r="I76" s="1"/>
  <c r="I70" s="1"/>
  <c r="I68"/>
  <c r="I67" s="1"/>
  <c r="I64"/>
  <c r="I62"/>
  <c r="I56"/>
  <c r="I55" s="1"/>
  <c r="I50"/>
  <c r="I45"/>
  <c r="I41" s="1"/>
  <c r="M41" s="1"/>
  <c r="I41" i="26" s="1"/>
  <c r="M41" s="1"/>
  <c r="I33" i="18"/>
  <c r="I29"/>
  <c r="I17"/>
  <c r="K33"/>
  <c r="K29"/>
  <c r="K17"/>
  <c r="K45"/>
  <c r="K110"/>
  <c r="N41" i="26" l="1"/>
  <c r="J41" i="28" s="1"/>
  <c r="I41"/>
  <c r="M41" s="1"/>
  <c r="P41" i="26"/>
  <c r="N21" i="27"/>
  <c r="J21" i="29" s="1"/>
  <c r="I21"/>
  <c r="M21" s="1"/>
  <c r="P21" i="27"/>
  <c r="N24" i="29"/>
  <c r="J24" i="31" s="1"/>
  <c r="I24"/>
  <c r="M24" s="1"/>
  <c r="P24" i="29"/>
  <c r="N23" i="27"/>
  <c r="J23" i="29" s="1"/>
  <c r="I23"/>
  <c r="M23" s="1"/>
  <c r="P23" i="27"/>
  <c r="N22" i="29"/>
  <c r="J22" i="31" s="1"/>
  <c r="I22"/>
  <c r="M22" s="1"/>
  <c r="P22" i="29"/>
  <c r="M93" i="18"/>
  <c r="I93" i="26" s="1"/>
  <c r="M93" s="1"/>
  <c r="J93" i="18"/>
  <c r="I105"/>
  <c r="N21" i="25"/>
  <c r="J21" i="27" s="1"/>
  <c r="N23" i="25"/>
  <c r="J23" i="27" s="1"/>
  <c r="K105" i="18"/>
  <c r="P23" i="25"/>
  <c r="P21"/>
  <c r="I16" i="18"/>
  <c r="K98"/>
  <c r="I98"/>
  <c r="I83"/>
  <c r="I61"/>
  <c r="I21" i="31" l="1"/>
  <c r="M21" s="1"/>
  <c r="P21" i="29"/>
  <c r="N21"/>
  <c r="J21" i="31" s="1"/>
  <c r="N22"/>
  <c r="P22"/>
  <c r="N41" i="28"/>
  <c r="J41" i="30" s="1"/>
  <c r="I41"/>
  <c r="M41" s="1"/>
  <c r="P41" i="28"/>
  <c r="N23" i="29"/>
  <c r="J23" i="31" s="1"/>
  <c r="I23"/>
  <c r="M23" s="1"/>
  <c r="P23" i="29"/>
  <c r="I93" i="28"/>
  <c r="M93" s="1"/>
  <c r="P93" i="26"/>
  <c r="N93"/>
  <c r="J93" i="28" s="1"/>
  <c r="N24" i="31"/>
  <c r="P24"/>
  <c r="I119" i="18"/>
  <c r="N93"/>
  <c r="J93" i="26" s="1"/>
  <c r="P93" i="18"/>
  <c r="G86"/>
  <c r="J86" s="1"/>
  <c r="N21" i="31" l="1"/>
  <c r="P21"/>
  <c r="N41" i="30"/>
  <c r="P23" i="31"/>
  <c r="N23"/>
  <c r="N93" i="28"/>
  <c r="J93" i="30" s="1"/>
  <c r="I93"/>
  <c r="M93" s="1"/>
  <c r="P93" i="28"/>
  <c r="J90" i="18"/>
  <c r="J106"/>
  <c r="N93" i="30" l="1"/>
  <c r="P93"/>
  <c r="M33" i="25"/>
  <c r="I33" i="27" s="1"/>
  <c r="M33" s="1"/>
  <c r="L33" i="25"/>
  <c r="J33"/>
  <c r="K32"/>
  <c r="I32"/>
  <c r="G32"/>
  <c r="N33" i="27" l="1"/>
  <c r="J33" i="29" s="1"/>
  <c r="I33"/>
  <c r="M33" s="1"/>
  <c r="P33" i="27"/>
  <c r="M32" i="25"/>
  <c r="I32" i="27" s="1"/>
  <c r="M32" s="1"/>
  <c r="P33" i="25"/>
  <c r="N33" s="1"/>
  <c r="J33" i="27" s="1"/>
  <c r="P32" i="25"/>
  <c r="N32" s="1"/>
  <c r="J32" i="27" s="1"/>
  <c r="J32" i="25"/>
  <c r="L32"/>
  <c r="K31"/>
  <c r="I31"/>
  <c r="G31"/>
  <c r="M30"/>
  <c r="I30" i="27" s="1"/>
  <c r="M30" s="1"/>
  <c r="L30" i="25"/>
  <c r="J30"/>
  <c r="K29"/>
  <c r="K28" s="1"/>
  <c r="I29"/>
  <c r="G29"/>
  <c r="M19"/>
  <c r="I19" i="27" s="1"/>
  <c r="M19" s="1"/>
  <c r="L19" i="25"/>
  <c r="J19"/>
  <c r="K18"/>
  <c r="I18"/>
  <c r="I33" i="31" l="1"/>
  <c r="M33" s="1"/>
  <c r="P33" i="29"/>
  <c r="N33"/>
  <c r="J33" i="31" s="1"/>
  <c r="N19" i="27"/>
  <c r="J19" i="29" s="1"/>
  <c r="I19"/>
  <c r="M19" s="1"/>
  <c r="P19" i="27"/>
  <c r="K20" i="25"/>
  <c r="L20" s="1"/>
  <c r="K26"/>
  <c r="N30" i="27"/>
  <c r="J30" i="29" s="1"/>
  <c r="I30"/>
  <c r="M30" s="1"/>
  <c r="P30" i="27"/>
  <c r="N32"/>
  <c r="J32" i="29" s="1"/>
  <c r="I32"/>
  <c r="M32" s="1"/>
  <c r="P32" i="27"/>
  <c r="P19" i="25"/>
  <c r="N19" s="1"/>
  <c r="J19" i="27" s="1"/>
  <c r="N30" i="25"/>
  <c r="J30" i="27" s="1"/>
  <c r="M31" i="25"/>
  <c r="I31" i="27" s="1"/>
  <c r="M31" s="1"/>
  <c r="M29" i="25"/>
  <c r="I29" i="27" s="1"/>
  <c r="M29" s="1"/>
  <c r="I28" i="25"/>
  <c r="M18"/>
  <c r="I18" i="27" s="1"/>
  <c r="M18" s="1"/>
  <c r="P30" i="25"/>
  <c r="J31"/>
  <c r="G28"/>
  <c r="L28" s="1"/>
  <c r="L31"/>
  <c r="J29"/>
  <c r="L29"/>
  <c r="G18"/>
  <c r="M17"/>
  <c r="I17" i="27" s="1"/>
  <c r="M17" s="1"/>
  <c r="L17" i="25"/>
  <c r="J17"/>
  <c r="K16"/>
  <c r="N32" i="29" l="1"/>
  <c r="J32" i="31" s="1"/>
  <c r="I32"/>
  <c r="M32" s="1"/>
  <c r="P32" i="29"/>
  <c r="I19" i="31"/>
  <c r="M19" s="1"/>
  <c r="P19" i="29"/>
  <c r="N19"/>
  <c r="J19" i="31" s="1"/>
  <c r="N33"/>
  <c r="P33"/>
  <c r="N29" i="27"/>
  <c r="J29" i="29" s="1"/>
  <c r="I29"/>
  <c r="M29" s="1"/>
  <c r="P29" i="27"/>
  <c r="N30" i="29"/>
  <c r="J30" i="31" s="1"/>
  <c r="I30"/>
  <c r="M30" s="1"/>
  <c r="P30" i="29"/>
  <c r="I31"/>
  <c r="M31" s="1"/>
  <c r="P31" i="27"/>
  <c r="N31"/>
  <c r="J31" i="29" s="1"/>
  <c r="I20" i="25"/>
  <c r="J20" s="1"/>
  <c r="I26"/>
  <c r="N17" i="27"/>
  <c r="J17" i="29" s="1"/>
  <c r="I17"/>
  <c r="M17" s="1"/>
  <c r="P17" i="27"/>
  <c r="N18"/>
  <c r="J18" i="29" s="1"/>
  <c r="I18"/>
  <c r="M18" s="1"/>
  <c r="P18" i="27"/>
  <c r="L26" i="25"/>
  <c r="K25"/>
  <c r="L25" s="1"/>
  <c r="N31"/>
  <c r="J31" i="27" s="1"/>
  <c r="P31" i="25"/>
  <c r="M20"/>
  <c r="I20" i="27" s="1"/>
  <c r="M20" s="1"/>
  <c r="N17" i="25"/>
  <c r="J17" i="27" s="1"/>
  <c r="P29" i="25"/>
  <c r="M28"/>
  <c r="I28" i="27" s="1"/>
  <c r="M28" s="1"/>
  <c r="N29" i="25"/>
  <c r="J29" i="27" s="1"/>
  <c r="J28" i="25"/>
  <c r="P17"/>
  <c r="J18"/>
  <c r="L18"/>
  <c r="P18"/>
  <c r="N18" s="1"/>
  <c r="J18" i="27" s="1"/>
  <c r="I16" i="25"/>
  <c r="M16" s="1"/>
  <c r="I16" i="27" s="1"/>
  <c r="M16" s="1"/>
  <c r="G16" i="25"/>
  <c r="N16" i="27" l="1"/>
  <c r="J16" i="29" s="1"/>
  <c r="I16"/>
  <c r="M16" s="1"/>
  <c r="P16" i="27"/>
  <c r="I17" i="31"/>
  <c r="M17" s="1"/>
  <c r="P17" i="29"/>
  <c r="N17"/>
  <c r="J17" i="31" s="1"/>
  <c r="P30"/>
  <c r="N30"/>
  <c r="N29" i="29"/>
  <c r="J29" i="31" s="1"/>
  <c r="I29"/>
  <c r="M29" s="1"/>
  <c r="P29" i="29"/>
  <c r="N32" i="31"/>
  <c r="P32"/>
  <c r="I20" i="29"/>
  <c r="M20" s="1"/>
  <c r="P20" i="27"/>
  <c r="N20"/>
  <c r="J20" i="29" s="1"/>
  <c r="M26" i="25"/>
  <c r="I25"/>
  <c r="J26"/>
  <c r="N31" i="29"/>
  <c r="J31" i="31" s="1"/>
  <c r="I31"/>
  <c r="M31" s="1"/>
  <c r="P31" i="29"/>
  <c r="N28" i="27"/>
  <c r="J28" i="29" s="1"/>
  <c r="I28"/>
  <c r="M28" s="1"/>
  <c r="P28" i="27"/>
  <c r="G15" i="25"/>
  <c r="G34"/>
  <c r="H27" s="1"/>
  <c r="N18" i="29"/>
  <c r="J18" i="31" s="1"/>
  <c r="I18"/>
  <c r="M18" s="1"/>
  <c r="P18" i="29"/>
  <c r="P19" i="31"/>
  <c r="N19"/>
  <c r="P28" i="25"/>
  <c r="N28" s="1"/>
  <c r="J28" i="27" s="1"/>
  <c r="P20" i="25"/>
  <c r="N20"/>
  <c r="J20" i="27" s="1"/>
  <c r="I15" i="25"/>
  <c r="J16"/>
  <c r="H20"/>
  <c r="H31"/>
  <c r="H18"/>
  <c r="H29"/>
  <c r="P16"/>
  <c r="N16" s="1"/>
  <c r="J16" i="27" s="1"/>
  <c r="L16" i="25"/>
  <c r="J15" l="1"/>
  <c r="H24"/>
  <c r="H30"/>
  <c r="H22"/>
  <c r="H25"/>
  <c r="H15"/>
  <c r="H34"/>
  <c r="H19"/>
  <c r="H32"/>
  <c r="H23"/>
  <c r="H26"/>
  <c r="N18" i="31"/>
  <c r="P18"/>
  <c r="N31"/>
  <c r="P31"/>
  <c r="I26" i="27"/>
  <c r="M26" s="1"/>
  <c r="N26" i="25"/>
  <c r="J26" i="27" s="1"/>
  <c r="P26" i="25"/>
  <c r="M25"/>
  <c r="J25"/>
  <c r="I20" i="31"/>
  <c r="M20" s="1"/>
  <c r="N20" i="29"/>
  <c r="J20" i="31" s="1"/>
  <c r="P20" i="29"/>
  <c r="N29" i="31"/>
  <c r="P29"/>
  <c r="N16" i="29"/>
  <c r="J16" i="31" s="1"/>
  <c r="I16"/>
  <c r="M16" s="1"/>
  <c r="P16" i="29"/>
  <c r="N28"/>
  <c r="J28" i="31" s="1"/>
  <c r="I28"/>
  <c r="M28" s="1"/>
  <c r="P28" i="29"/>
  <c r="N17" i="31"/>
  <c r="P17"/>
  <c r="H17" i="25"/>
  <c r="H28"/>
  <c r="H33"/>
  <c r="H21"/>
  <c r="H16"/>
  <c r="I34"/>
  <c r="J34" s="1"/>
  <c r="M118" i="18"/>
  <c r="I118" i="26" s="1"/>
  <c r="M118" s="1"/>
  <c r="M117" i="18"/>
  <c r="I117" i="26" s="1"/>
  <c r="M117" s="1"/>
  <c r="G117" i="18"/>
  <c r="J117" s="1"/>
  <c r="M115"/>
  <c r="I115" i="26" s="1"/>
  <c r="M115" s="1"/>
  <c r="L115" i="18"/>
  <c r="M114"/>
  <c r="I114" i="26" s="1"/>
  <c r="M114" s="1"/>
  <c r="G114" i="18"/>
  <c r="J114" s="1"/>
  <c r="I26" i="29" l="1"/>
  <c r="M26" s="1"/>
  <c r="P26" i="27"/>
  <c r="N26"/>
  <c r="J26" i="29" s="1"/>
  <c r="N20" i="31"/>
  <c r="P20"/>
  <c r="P115" i="26"/>
  <c r="I115" i="28"/>
  <c r="M115" s="1"/>
  <c r="N115" i="26"/>
  <c r="J115" i="28" s="1"/>
  <c r="N117" i="26"/>
  <c r="J117" i="28" s="1"/>
  <c r="I117"/>
  <c r="M117" s="1"/>
  <c r="P117" i="26"/>
  <c r="I118" i="28"/>
  <c r="M118" s="1"/>
  <c r="N118" i="26"/>
  <c r="J118" i="28" s="1"/>
  <c r="P118" i="26"/>
  <c r="N114"/>
  <c r="J114" i="28" s="1"/>
  <c r="I114"/>
  <c r="M114" s="1"/>
  <c r="P114" i="26"/>
  <c r="N28" i="31"/>
  <c r="P28"/>
  <c r="N16"/>
  <c r="P16"/>
  <c r="I25" i="27"/>
  <c r="M25" s="1"/>
  <c r="N25" i="25"/>
  <c r="J25" i="27" s="1"/>
  <c r="P25" i="25"/>
  <c r="N118" i="18"/>
  <c r="J118" i="26" s="1"/>
  <c r="N115" i="18"/>
  <c r="J115" i="26" s="1"/>
  <c r="P117" i="18"/>
  <c r="N114"/>
  <c r="J114" i="26" s="1"/>
  <c r="P118" i="18"/>
  <c r="P115"/>
  <c r="G113"/>
  <c r="J113" s="1"/>
  <c r="L114"/>
  <c r="P114"/>
  <c r="N117"/>
  <c r="J117" i="26" s="1"/>
  <c r="G116" i="18"/>
  <c r="J116" s="1"/>
  <c r="L117"/>
  <c r="M112"/>
  <c r="I112" i="26" s="1"/>
  <c r="M112" s="1"/>
  <c r="L112" i="18"/>
  <c r="M111"/>
  <c r="I111" i="26" s="1"/>
  <c r="M111" s="1"/>
  <c r="L111" i="18"/>
  <c r="I112" i="28" l="1"/>
  <c r="M112" s="1"/>
  <c r="P112" i="26"/>
  <c r="N112"/>
  <c r="J112" i="28" s="1"/>
  <c r="N26" i="29"/>
  <c r="J26" i="31" s="1"/>
  <c r="I26"/>
  <c r="M26" s="1"/>
  <c r="P26" i="29"/>
  <c r="I25"/>
  <c r="M25" s="1"/>
  <c r="P25" i="27"/>
  <c r="N25"/>
  <c r="J25" i="29" s="1"/>
  <c r="N117" i="28"/>
  <c r="J117" i="30" s="1"/>
  <c r="I117"/>
  <c r="M117" s="1"/>
  <c r="P117" i="28"/>
  <c r="N111" i="26"/>
  <c r="J111" i="28" s="1"/>
  <c r="I111"/>
  <c r="M111" s="1"/>
  <c r="P111" i="26"/>
  <c r="I115" i="30"/>
  <c r="M115" s="1"/>
  <c r="P115" i="28"/>
  <c r="N115"/>
  <c r="J115" i="30" s="1"/>
  <c r="N114" i="28"/>
  <c r="J114" i="30" s="1"/>
  <c r="I114"/>
  <c r="M114" s="1"/>
  <c r="P114" i="28"/>
  <c r="N118"/>
  <c r="J118" i="30" s="1"/>
  <c r="I118"/>
  <c r="M118" s="1"/>
  <c r="P118" i="28"/>
  <c r="N111" i="18"/>
  <c r="J111" i="26" s="1"/>
  <c r="N112" i="18"/>
  <c r="J112" i="26" s="1"/>
  <c r="P112" i="18"/>
  <c r="P111"/>
  <c r="G110"/>
  <c r="M108"/>
  <c r="I108" i="26" s="1"/>
  <c r="M108" s="1"/>
  <c r="L108" i="18"/>
  <c r="M106"/>
  <c r="I106" i="26" s="1"/>
  <c r="M106" s="1"/>
  <c r="M103" i="18"/>
  <c r="I103" i="26" s="1"/>
  <c r="M103" s="1"/>
  <c r="L103" i="18"/>
  <c r="M102"/>
  <c r="I102" i="26" s="1"/>
  <c r="M102" s="1"/>
  <c r="G102" i="18"/>
  <c r="M100"/>
  <c r="I100" i="26" s="1"/>
  <c r="M100" s="1"/>
  <c r="L100" i="18"/>
  <c r="M99"/>
  <c r="I99" i="26" s="1"/>
  <c r="M99" s="1"/>
  <c r="M97" i="18"/>
  <c r="I97" i="26" s="1"/>
  <c r="M97" s="1"/>
  <c r="L97" i="18"/>
  <c r="M96"/>
  <c r="I96" i="26" s="1"/>
  <c r="M96" s="1"/>
  <c r="G96" i="18"/>
  <c r="G95" s="1"/>
  <c r="M91"/>
  <c r="I91" i="26" s="1"/>
  <c r="M91" s="1"/>
  <c r="L91" i="18"/>
  <c r="K90"/>
  <c r="M87"/>
  <c r="I87" i="26" s="1"/>
  <c r="M87" s="1"/>
  <c r="L87" i="18"/>
  <c r="M86"/>
  <c r="I86" i="26" s="1"/>
  <c r="M86" s="1"/>
  <c r="M85" i="18"/>
  <c r="I85" i="26" s="1"/>
  <c r="M85" s="1"/>
  <c r="L85" i="18"/>
  <c r="K84"/>
  <c r="G84"/>
  <c r="G83" s="1"/>
  <c r="M79"/>
  <c r="I79" i="26" s="1"/>
  <c r="M79" s="1"/>
  <c r="L79" i="18"/>
  <c r="M78"/>
  <c r="I78" i="26" s="1"/>
  <c r="M78" s="1"/>
  <c r="L78" i="18"/>
  <c r="K77"/>
  <c r="M77" s="1"/>
  <c r="I77" i="26" s="1"/>
  <c r="M77" s="1"/>
  <c r="J77" i="18"/>
  <c r="M69"/>
  <c r="I69" i="26" s="1"/>
  <c r="M69" s="1"/>
  <c r="L69" i="18"/>
  <c r="K68"/>
  <c r="M68" s="1"/>
  <c r="I68" i="26" s="1"/>
  <c r="M68" s="1"/>
  <c r="J68" i="18"/>
  <c r="M66"/>
  <c r="I66" i="26" s="1"/>
  <c r="M66" s="1"/>
  <c r="L66" i="18"/>
  <c r="M65"/>
  <c r="I65" i="26" s="1"/>
  <c r="M65" s="1"/>
  <c r="L65" i="18"/>
  <c r="K64"/>
  <c r="M64" s="1"/>
  <c r="I64" i="26" s="1"/>
  <c r="M64" s="1"/>
  <c r="J64" i="18"/>
  <c r="M63"/>
  <c r="I63" i="26" s="1"/>
  <c r="M63" s="1"/>
  <c r="L63" i="18"/>
  <c r="K62"/>
  <c r="M62" s="1"/>
  <c r="I62" i="26" s="1"/>
  <c r="M62" s="1"/>
  <c r="G62" i="18"/>
  <c r="M57"/>
  <c r="I57" i="26" s="1"/>
  <c r="M57" s="1"/>
  <c r="L57" i="18"/>
  <c r="K56"/>
  <c r="G56"/>
  <c r="G55" s="1"/>
  <c r="M53"/>
  <c r="I53" i="26" s="1"/>
  <c r="M53" s="1"/>
  <c r="L53" i="18"/>
  <c r="M52"/>
  <c r="I52" i="26" s="1"/>
  <c r="M52" s="1"/>
  <c r="L52" i="18"/>
  <c r="M51"/>
  <c r="I51" i="26" s="1"/>
  <c r="M51" s="1"/>
  <c r="L51" i="18"/>
  <c r="K50"/>
  <c r="M50" s="1"/>
  <c r="I50" i="26" s="1"/>
  <c r="M50" s="1"/>
  <c r="J50" i="18"/>
  <c r="M49"/>
  <c r="I49" i="26" s="1"/>
  <c r="M49" s="1"/>
  <c r="L49" i="18"/>
  <c r="M48"/>
  <c r="I48" i="26" s="1"/>
  <c r="M48" s="1"/>
  <c r="L48" i="18"/>
  <c r="M47"/>
  <c r="I47" i="26" s="1"/>
  <c r="M47" s="1"/>
  <c r="L47" i="18"/>
  <c r="M46"/>
  <c r="I46" i="26" s="1"/>
  <c r="M46" s="1"/>
  <c r="L46" i="18"/>
  <c r="M39"/>
  <c r="I39" i="26" s="1"/>
  <c r="M39" s="1"/>
  <c r="L39" i="18"/>
  <c r="M37"/>
  <c r="I37" i="26" s="1"/>
  <c r="M37" s="1"/>
  <c r="L37" i="18"/>
  <c r="M36"/>
  <c r="I36" i="26" s="1"/>
  <c r="M36" s="1"/>
  <c r="L36" i="18"/>
  <c r="M35"/>
  <c r="I35" i="26" s="1"/>
  <c r="M35" s="1"/>
  <c r="L35" i="18"/>
  <c r="M34"/>
  <c r="I34" i="26" s="1"/>
  <c r="M34" s="1"/>
  <c r="L34" i="18"/>
  <c r="M33"/>
  <c r="I33" i="26" s="1"/>
  <c r="M33" s="1"/>
  <c r="J33" i="18"/>
  <c r="M32"/>
  <c r="I32" i="26" s="1"/>
  <c r="M32" s="1"/>
  <c r="L32" i="18"/>
  <c r="M29"/>
  <c r="I29" i="26" s="1"/>
  <c r="M29" s="1"/>
  <c r="J29" i="18"/>
  <c r="M28"/>
  <c r="I28" i="26" s="1"/>
  <c r="M28" s="1"/>
  <c r="L28" i="18"/>
  <c r="M27"/>
  <c r="I27" i="26" s="1"/>
  <c r="M27" s="1"/>
  <c r="L27" i="18"/>
  <c r="M26"/>
  <c r="I26" i="26" s="1"/>
  <c r="M26" s="1"/>
  <c r="L26" i="18"/>
  <c r="K25"/>
  <c r="G25"/>
  <c r="J25" s="1"/>
  <c r="M24"/>
  <c r="I24" i="26" s="1"/>
  <c r="M24" s="1"/>
  <c r="L24" i="18"/>
  <c r="M23"/>
  <c r="I23" i="26" s="1"/>
  <c r="M23" s="1"/>
  <c r="L23" i="18"/>
  <c r="M22"/>
  <c r="I22" i="26" s="1"/>
  <c r="M22" s="1"/>
  <c r="L22" i="18"/>
  <c r="M21"/>
  <c r="I21" i="26" s="1"/>
  <c r="M21" s="1"/>
  <c r="L21" i="18"/>
  <c r="M20"/>
  <c r="I20" i="26" s="1"/>
  <c r="M20" s="1"/>
  <c r="L20" i="18"/>
  <c r="M19"/>
  <c r="I19" i="26" s="1"/>
  <c r="M19" s="1"/>
  <c r="L19" i="18"/>
  <c r="M18"/>
  <c r="I18" i="26" s="1"/>
  <c r="M18" s="1"/>
  <c r="L18" i="18"/>
  <c r="P19" i="26" l="1"/>
  <c r="I19" i="28"/>
  <c r="M19" s="1"/>
  <c r="N19" i="26"/>
  <c r="J19" i="28" s="1"/>
  <c r="N86" i="26"/>
  <c r="J86" i="28" s="1"/>
  <c r="I86"/>
  <c r="M86" s="1"/>
  <c r="P86" i="26"/>
  <c r="N100"/>
  <c r="J100" i="28" s="1"/>
  <c r="I100"/>
  <c r="M100" s="1"/>
  <c r="P100" i="26"/>
  <c r="N103"/>
  <c r="J103" i="28" s="1"/>
  <c r="I103"/>
  <c r="M103" s="1"/>
  <c r="P103" i="26"/>
  <c r="G105" i="18"/>
  <c r="G104" s="1"/>
  <c r="N26" i="31"/>
  <c r="P26"/>
  <c r="I112" i="30"/>
  <c r="M112" s="1"/>
  <c r="I112" i="32" s="1"/>
  <c r="M112" s="1"/>
  <c r="P112" i="28"/>
  <c r="N112"/>
  <c r="J112" i="30" s="1"/>
  <c r="N20" i="26"/>
  <c r="J20" i="28" s="1"/>
  <c r="I20"/>
  <c r="M20" s="1"/>
  <c r="P20" i="26"/>
  <c r="N24"/>
  <c r="J24" i="28" s="1"/>
  <c r="I24"/>
  <c r="M24" s="1"/>
  <c r="P24" i="26"/>
  <c r="N28"/>
  <c r="J28" i="28" s="1"/>
  <c r="I28"/>
  <c r="M28" s="1"/>
  <c r="P28" i="26"/>
  <c r="I34" i="28"/>
  <c r="M34" s="1"/>
  <c r="P34" i="26"/>
  <c r="N34"/>
  <c r="J34" i="28" s="1"/>
  <c r="N36" i="26"/>
  <c r="J36" i="28" s="1"/>
  <c r="I36"/>
  <c r="M36" s="1"/>
  <c r="P36" i="26"/>
  <c r="P47"/>
  <c r="I47" i="28"/>
  <c r="M47" s="1"/>
  <c r="N47" i="26"/>
  <c r="J47" i="28" s="1"/>
  <c r="I49"/>
  <c r="M49" s="1"/>
  <c r="P49" i="26"/>
  <c r="N49"/>
  <c r="J49" i="28" s="1"/>
  <c r="N51" i="26"/>
  <c r="J51" i="28" s="1"/>
  <c r="I51"/>
  <c r="M51" s="1"/>
  <c r="P51" i="26"/>
  <c r="N53"/>
  <c r="J53" i="28" s="1"/>
  <c r="I53"/>
  <c r="M53" s="1"/>
  <c r="P53" i="26"/>
  <c r="P57"/>
  <c r="I57" i="28"/>
  <c r="M57" s="1"/>
  <c r="N57" i="26"/>
  <c r="J57" i="28" s="1"/>
  <c r="N63" i="26"/>
  <c r="J63" i="28" s="1"/>
  <c r="I63"/>
  <c r="M63" s="1"/>
  <c r="P63" i="26"/>
  <c r="N65"/>
  <c r="J65" i="28" s="1"/>
  <c r="I65"/>
  <c r="M65" s="1"/>
  <c r="P65" i="26"/>
  <c r="N68"/>
  <c r="J68" i="28" s="1"/>
  <c r="I68"/>
  <c r="M68" s="1"/>
  <c r="P68" i="26"/>
  <c r="N77"/>
  <c r="J77" i="28" s="1"/>
  <c r="I77"/>
  <c r="M77" s="1"/>
  <c r="P77" i="26"/>
  <c r="N79"/>
  <c r="J79" i="28" s="1"/>
  <c r="I79"/>
  <c r="M79" s="1"/>
  <c r="P79" i="26"/>
  <c r="N85"/>
  <c r="J85" i="28" s="1"/>
  <c r="P85" i="26"/>
  <c r="I85" i="28"/>
  <c r="M85" s="1"/>
  <c r="N96" i="26"/>
  <c r="J96" i="28" s="1"/>
  <c r="I96"/>
  <c r="M96" s="1"/>
  <c r="P96" i="26"/>
  <c r="I108" i="28"/>
  <c r="M108" s="1"/>
  <c r="P108" i="26"/>
  <c r="N108"/>
  <c r="J108" i="28" s="1"/>
  <c r="I111" i="30"/>
  <c r="M111" s="1"/>
  <c r="N111" i="28"/>
  <c r="J111" i="30" s="1"/>
  <c r="P111" i="28"/>
  <c r="N18" i="26"/>
  <c r="J18" i="28" s="1"/>
  <c r="I18"/>
  <c r="M18" s="1"/>
  <c r="P18" i="26"/>
  <c r="N22"/>
  <c r="J22" i="28" s="1"/>
  <c r="I22"/>
  <c r="M22" s="1"/>
  <c r="P22" i="26"/>
  <c r="I26" i="28"/>
  <c r="M26" s="1"/>
  <c r="P26" i="26"/>
  <c r="N26"/>
  <c r="J26" i="28" s="1"/>
  <c r="P32" i="26"/>
  <c r="I32" i="28"/>
  <c r="M32" s="1"/>
  <c r="N32" i="26"/>
  <c r="J32" i="28" s="1"/>
  <c r="I39"/>
  <c r="M39" s="1"/>
  <c r="N39" i="26"/>
  <c r="J39" i="28" s="1"/>
  <c r="P39" i="26"/>
  <c r="P87"/>
  <c r="I87" i="28"/>
  <c r="M87" s="1"/>
  <c r="N87" i="26"/>
  <c r="J87" i="28" s="1"/>
  <c r="N99" i="26"/>
  <c r="J99" i="28" s="1"/>
  <c r="I99"/>
  <c r="M99" s="1"/>
  <c r="P99" i="26"/>
  <c r="N102"/>
  <c r="J102" i="28" s="1"/>
  <c r="I102"/>
  <c r="M102" s="1"/>
  <c r="P102" i="26"/>
  <c r="N118" i="30"/>
  <c r="P118"/>
  <c r="N117"/>
  <c r="P117"/>
  <c r="N25" i="29"/>
  <c r="J25" i="31" s="1"/>
  <c r="I25"/>
  <c r="M25" s="1"/>
  <c r="P25" i="29"/>
  <c r="P21" i="26"/>
  <c r="I21" i="28"/>
  <c r="M21" s="1"/>
  <c r="N21" i="26"/>
  <c r="J21" i="28" s="1"/>
  <c r="P23" i="26"/>
  <c r="I23" i="28"/>
  <c r="M23" s="1"/>
  <c r="N23" i="26"/>
  <c r="J23" i="28" s="1"/>
  <c r="P27" i="26"/>
  <c r="I27" i="28"/>
  <c r="M27" s="1"/>
  <c r="N27" i="26"/>
  <c r="J27" i="28" s="1"/>
  <c r="N29" i="26"/>
  <c r="J29" i="28" s="1"/>
  <c r="I29"/>
  <c r="M29" s="1"/>
  <c r="P29" i="26"/>
  <c r="N33"/>
  <c r="J33" i="28" s="1"/>
  <c r="I33"/>
  <c r="M33" s="1"/>
  <c r="P33" i="26"/>
  <c r="P35"/>
  <c r="I35" i="28"/>
  <c r="M35" s="1"/>
  <c r="N35" i="26"/>
  <c r="J35" i="28" s="1"/>
  <c r="P37" i="26"/>
  <c r="I37" i="28"/>
  <c r="M37" s="1"/>
  <c r="N37" i="26"/>
  <c r="J37" i="28" s="1"/>
  <c r="N46" i="26"/>
  <c r="J46" i="28" s="1"/>
  <c r="I46"/>
  <c r="M46" s="1"/>
  <c r="P46" i="26"/>
  <c r="P48"/>
  <c r="I48" i="28"/>
  <c r="M48" s="1"/>
  <c r="N48" i="26"/>
  <c r="J48" i="28" s="1"/>
  <c r="N50" i="26"/>
  <c r="J50" i="28" s="1"/>
  <c r="I50"/>
  <c r="M50" s="1"/>
  <c r="P50" i="26"/>
  <c r="P52"/>
  <c r="I52" i="28"/>
  <c r="M52" s="1"/>
  <c r="N52" i="26"/>
  <c r="J52" i="28" s="1"/>
  <c r="N62" i="26"/>
  <c r="J62" i="28" s="1"/>
  <c r="I62"/>
  <c r="M62" s="1"/>
  <c r="P62" i="26"/>
  <c r="N64"/>
  <c r="J64" i="28" s="1"/>
  <c r="I64"/>
  <c r="M64" s="1"/>
  <c r="P64" i="26"/>
  <c r="N66"/>
  <c r="J66" i="28" s="1"/>
  <c r="I66"/>
  <c r="M66" s="1"/>
  <c r="P66" i="26"/>
  <c r="N69"/>
  <c r="J69" i="28" s="1"/>
  <c r="I69"/>
  <c r="M69" s="1"/>
  <c r="P69" i="26"/>
  <c r="N78"/>
  <c r="J78" i="28" s="1"/>
  <c r="I78"/>
  <c r="M78" s="1"/>
  <c r="P78" i="26"/>
  <c r="N91"/>
  <c r="J91" i="28" s="1"/>
  <c r="I91"/>
  <c r="M91" s="1"/>
  <c r="P91" i="26"/>
  <c r="N97"/>
  <c r="J97" i="28" s="1"/>
  <c r="I97"/>
  <c r="M97" s="1"/>
  <c r="P97" i="26"/>
  <c r="J102" i="18"/>
  <c r="G98"/>
  <c r="G88" s="1"/>
  <c r="N106" i="26"/>
  <c r="J106" i="28" s="1"/>
  <c r="I106"/>
  <c r="M106" s="1"/>
  <c r="P106" i="26"/>
  <c r="N114" i="30"/>
  <c r="P114"/>
  <c r="P115"/>
  <c r="N115"/>
  <c r="M56" i="18"/>
  <c r="I56" i="26" s="1"/>
  <c r="M56" s="1"/>
  <c r="K55" i="18"/>
  <c r="M55" s="1"/>
  <c r="I55" i="26" s="1"/>
  <c r="M55" s="1"/>
  <c r="M90" i="18"/>
  <c r="I90" i="26" s="1"/>
  <c r="M90" s="1"/>
  <c r="K89" i="18"/>
  <c r="N22"/>
  <c r="J22" i="26" s="1"/>
  <c r="N24" i="18"/>
  <c r="J24" i="26" s="1"/>
  <c r="N26" i="18"/>
  <c r="J26" i="26" s="1"/>
  <c r="P28" i="18"/>
  <c r="N32"/>
  <c r="J32" i="26" s="1"/>
  <c r="N34" i="18"/>
  <c r="J34" i="26" s="1"/>
  <c r="N36" i="18"/>
  <c r="J36" i="26" s="1"/>
  <c r="N39" i="18"/>
  <c r="J39" i="26" s="1"/>
  <c r="N47" i="18"/>
  <c r="J47" i="26" s="1"/>
  <c r="N108" i="18"/>
  <c r="J108" i="26" s="1"/>
  <c r="N20" i="18"/>
  <c r="J20" i="26" s="1"/>
  <c r="P52" i="18"/>
  <c r="N66"/>
  <c r="J66" i="26" s="1"/>
  <c r="P69" i="18"/>
  <c r="N79"/>
  <c r="J79" i="26" s="1"/>
  <c r="P85" i="18"/>
  <c r="N35"/>
  <c r="J35" i="26" s="1"/>
  <c r="N37" i="18"/>
  <c r="J37" i="26" s="1"/>
  <c r="N46" i="18"/>
  <c r="J46" i="26" s="1"/>
  <c r="N48" i="18"/>
  <c r="J48" i="26" s="1"/>
  <c r="J56" i="18"/>
  <c r="P87"/>
  <c r="N18"/>
  <c r="J18" i="26" s="1"/>
  <c r="N19" i="18"/>
  <c r="J19" i="26" s="1"/>
  <c r="N21" i="18"/>
  <c r="J21" i="26" s="1"/>
  <c r="N23" i="18"/>
  <c r="J23" i="26" s="1"/>
  <c r="P27" i="18"/>
  <c r="N49"/>
  <c r="J49" i="26" s="1"/>
  <c r="P51" i="18"/>
  <c r="P53"/>
  <c r="N57"/>
  <c r="J57" i="26" s="1"/>
  <c r="P63" i="18"/>
  <c r="N65"/>
  <c r="J65" i="26" s="1"/>
  <c r="N78" i="18"/>
  <c r="J78" i="26" s="1"/>
  <c r="N91" i="18"/>
  <c r="J91" i="26" s="1"/>
  <c r="N97" i="18"/>
  <c r="J97" i="26" s="1"/>
  <c r="N100" i="18"/>
  <c r="J100" i="26" s="1"/>
  <c r="P103" i="18"/>
  <c r="J99"/>
  <c r="J98"/>
  <c r="J45"/>
  <c r="J62"/>
  <c r="G61"/>
  <c r="J61" s="1"/>
  <c r="J84"/>
  <c r="J96"/>
  <c r="J95"/>
  <c r="M25"/>
  <c r="I25" i="26" s="1"/>
  <c r="M25" s="1"/>
  <c r="K16" i="18"/>
  <c r="M84"/>
  <c r="I84" i="26" s="1"/>
  <c r="M84" s="1"/>
  <c r="K83" i="18"/>
  <c r="J110"/>
  <c r="N28"/>
  <c r="J28" i="26" s="1"/>
  <c r="P20" i="18"/>
  <c r="P18"/>
  <c r="P79"/>
  <c r="M110"/>
  <c r="I110" i="26" s="1"/>
  <c r="M110" s="1"/>
  <c r="P24" i="18"/>
  <c r="P22"/>
  <c r="P66"/>
  <c r="P21"/>
  <c r="P78"/>
  <c r="P19"/>
  <c r="P23"/>
  <c r="N52"/>
  <c r="J52" i="26" s="1"/>
  <c r="N96" i="18"/>
  <c r="J96" i="26" s="1"/>
  <c r="N27" i="18"/>
  <c r="J27" i="26" s="1"/>
  <c r="N69" i="18"/>
  <c r="J69" i="26" s="1"/>
  <c r="N103" i="18"/>
  <c r="J103" i="26" s="1"/>
  <c r="N53" i="18"/>
  <c r="J53" i="26" s="1"/>
  <c r="N63" i="18"/>
  <c r="J63" i="26" s="1"/>
  <c r="N87" i="18"/>
  <c r="J87" i="26" s="1"/>
  <c r="N99" i="18"/>
  <c r="J99" i="26" s="1"/>
  <c r="P65" i="18"/>
  <c r="P32"/>
  <c r="N51"/>
  <c r="J51" i="26" s="1"/>
  <c r="N85" i="18"/>
  <c r="J85" i="26" s="1"/>
  <c r="M95" i="18"/>
  <c r="I95" i="26" s="1"/>
  <c r="M95" s="1"/>
  <c r="P33" i="18"/>
  <c r="N106"/>
  <c r="J106" i="26" s="1"/>
  <c r="P62" i="18"/>
  <c r="P86"/>
  <c r="P102"/>
  <c r="P34"/>
  <c r="P35"/>
  <c r="P36"/>
  <c r="P37"/>
  <c r="P39"/>
  <c r="P46"/>
  <c r="P47"/>
  <c r="P48"/>
  <c r="P57"/>
  <c r="L64"/>
  <c r="L68"/>
  <c r="L77"/>
  <c r="M89"/>
  <c r="I89" i="26" s="1"/>
  <c r="M89" s="1"/>
  <c r="P91" i="18"/>
  <c r="P97"/>
  <c r="P100"/>
  <c r="P108"/>
  <c r="N56"/>
  <c r="J56" i="26" s="1"/>
  <c r="P50" i="18"/>
  <c r="N29"/>
  <c r="J29" i="26" s="1"/>
  <c r="L29" i="18"/>
  <c r="P29"/>
  <c r="L33"/>
  <c r="N33"/>
  <c r="J33" i="26" s="1"/>
  <c r="L45" i="18"/>
  <c r="N50"/>
  <c r="J50" i="26" s="1"/>
  <c r="L50" i="18"/>
  <c r="L56"/>
  <c r="P56"/>
  <c r="N62"/>
  <c r="J62" i="26" s="1"/>
  <c r="L62" i="18"/>
  <c r="P64"/>
  <c r="N64"/>
  <c r="J64" i="26" s="1"/>
  <c r="P68" i="18"/>
  <c r="N68"/>
  <c r="J68" i="26" s="1"/>
  <c r="P77" i="18"/>
  <c r="N77"/>
  <c r="J77" i="26" s="1"/>
  <c r="L84" i="18"/>
  <c r="N86"/>
  <c r="J86" i="26" s="1"/>
  <c r="L86" i="18"/>
  <c r="L90"/>
  <c r="P90"/>
  <c r="L96"/>
  <c r="P96"/>
  <c r="L99"/>
  <c r="P99"/>
  <c r="N102"/>
  <c r="J102" i="26" s="1"/>
  <c r="L102" i="18"/>
  <c r="L106"/>
  <c r="P106"/>
  <c r="L110"/>
  <c r="P49"/>
  <c r="P26"/>
  <c r="L25"/>
  <c r="M17"/>
  <c r="I17" i="26" s="1"/>
  <c r="M17" s="1"/>
  <c r="G17" i="18"/>
  <c r="G16" s="1"/>
  <c r="N112" i="32" l="1"/>
  <c r="P112"/>
  <c r="N90" i="18"/>
  <c r="J90" i="26" s="1"/>
  <c r="N95"/>
  <c r="J95" i="28" s="1"/>
  <c r="I95"/>
  <c r="M95" s="1"/>
  <c r="P95" i="26"/>
  <c r="N97" i="28"/>
  <c r="J97" i="30" s="1"/>
  <c r="I97"/>
  <c r="M97" s="1"/>
  <c r="P97" i="28"/>
  <c r="N66"/>
  <c r="J66" i="30" s="1"/>
  <c r="I66"/>
  <c r="M66" s="1"/>
  <c r="P66" i="28"/>
  <c r="N50"/>
  <c r="J50" i="30" s="1"/>
  <c r="I50"/>
  <c r="M50" s="1"/>
  <c r="P50" i="28"/>
  <c r="I35" i="30"/>
  <c r="M35" s="1"/>
  <c r="P35" i="28"/>
  <c r="N35"/>
  <c r="J35" i="30" s="1"/>
  <c r="I23"/>
  <c r="M23" s="1"/>
  <c r="P23" i="28"/>
  <c r="N23"/>
  <c r="J23" i="30" s="1"/>
  <c r="I87"/>
  <c r="M87" s="1"/>
  <c r="P87" i="28"/>
  <c r="N87"/>
  <c r="J87" i="30" s="1"/>
  <c r="I39"/>
  <c r="M39" s="1"/>
  <c r="N39" i="28"/>
  <c r="J39" i="30" s="1"/>
  <c r="P39" i="28"/>
  <c r="N22"/>
  <c r="J22" i="30" s="1"/>
  <c r="I22"/>
  <c r="M22" s="1"/>
  <c r="P22" i="28"/>
  <c r="N96"/>
  <c r="J96" i="30" s="1"/>
  <c r="I96"/>
  <c r="M96" s="1"/>
  <c r="P96" i="28"/>
  <c r="N68"/>
  <c r="J68" i="30" s="1"/>
  <c r="I68"/>
  <c r="M68" s="1"/>
  <c r="P68" i="28"/>
  <c r="I53" i="30"/>
  <c r="M53" s="1"/>
  <c r="P53" i="28"/>
  <c r="N53"/>
  <c r="J53" i="30" s="1"/>
  <c r="N36" i="28"/>
  <c r="J36" i="30" s="1"/>
  <c r="I36"/>
  <c r="M36" s="1"/>
  <c r="P36" i="28"/>
  <c r="N34"/>
  <c r="J34" i="30" s="1"/>
  <c r="I34"/>
  <c r="M34" s="1"/>
  <c r="P34" i="28"/>
  <c r="N20"/>
  <c r="J20" i="30" s="1"/>
  <c r="I20"/>
  <c r="M20" s="1"/>
  <c r="P20" i="28"/>
  <c r="P112" i="30"/>
  <c r="N112"/>
  <c r="J112" i="32" s="1"/>
  <c r="N86" i="28"/>
  <c r="J86" i="30" s="1"/>
  <c r="I86"/>
  <c r="M86" s="1"/>
  <c r="P86" i="28"/>
  <c r="N17" i="26"/>
  <c r="J17" i="28" s="1"/>
  <c r="I17"/>
  <c r="M17" s="1"/>
  <c r="P17" i="26"/>
  <c r="N25"/>
  <c r="J25" i="28" s="1"/>
  <c r="I25"/>
  <c r="M25" s="1"/>
  <c r="P25" i="26"/>
  <c r="N90"/>
  <c r="J90" i="28" s="1"/>
  <c r="I90"/>
  <c r="M90" s="1"/>
  <c r="P90" i="26"/>
  <c r="N106" i="28"/>
  <c r="J106" i="30" s="1"/>
  <c r="I106"/>
  <c r="M106" s="1"/>
  <c r="P106" i="28"/>
  <c r="I91" i="30"/>
  <c r="M91" s="1"/>
  <c r="N91" i="28"/>
  <c r="J91" i="30" s="1"/>
  <c r="P91" i="28"/>
  <c r="N64"/>
  <c r="J64" i="30" s="1"/>
  <c r="I64"/>
  <c r="M64" s="1"/>
  <c r="P64" i="28"/>
  <c r="N48"/>
  <c r="J48" i="30" s="1"/>
  <c r="I48"/>
  <c r="M48" s="1"/>
  <c r="P48" i="28"/>
  <c r="N33"/>
  <c r="J33" i="30" s="1"/>
  <c r="I33"/>
  <c r="P33" i="28"/>
  <c r="I21" i="30"/>
  <c r="M21" s="1"/>
  <c r="P21" i="28"/>
  <c r="N21"/>
  <c r="J21" i="30" s="1"/>
  <c r="N25" i="31"/>
  <c r="P25"/>
  <c r="N18" i="28"/>
  <c r="J18" i="30" s="1"/>
  <c r="I18"/>
  <c r="M18" s="1"/>
  <c r="P18" i="28"/>
  <c r="P111" i="30"/>
  <c r="N111"/>
  <c r="I65"/>
  <c r="M65" s="1"/>
  <c r="P65" i="28"/>
  <c r="N65"/>
  <c r="J65" i="30" s="1"/>
  <c r="I51"/>
  <c r="M51" s="1"/>
  <c r="P51" i="28"/>
  <c r="N51"/>
  <c r="J51" i="30" s="1"/>
  <c r="I49"/>
  <c r="M49" s="1"/>
  <c r="I49" i="32" s="1"/>
  <c r="M49" s="1"/>
  <c r="P49" i="28"/>
  <c r="N49"/>
  <c r="J49" i="30" s="1"/>
  <c r="I19"/>
  <c r="M19" s="1"/>
  <c r="P19" i="28"/>
  <c r="N19"/>
  <c r="J19" i="30" s="1"/>
  <c r="N55" i="26"/>
  <c r="J55" i="28" s="1"/>
  <c r="I55"/>
  <c r="M55" s="1"/>
  <c r="P55" i="26"/>
  <c r="N110"/>
  <c r="J110" i="28" s="1"/>
  <c r="I110"/>
  <c r="M110" s="1"/>
  <c r="P110" i="26"/>
  <c r="N78" i="28"/>
  <c r="J78" i="30" s="1"/>
  <c r="I78"/>
  <c r="M78" s="1"/>
  <c r="P78" i="28"/>
  <c r="N62"/>
  <c r="J62" i="30" s="1"/>
  <c r="I62"/>
  <c r="M62" s="1"/>
  <c r="P62" i="28"/>
  <c r="N46"/>
  <c r="J46" i="30" s="1"/>
  <c r="I46"/>
  <c r="M46" s="1"/>
  <c r="P46" i="28"/>
  <c r="N29"/>
  <c r="J29" i="30" s="1"/>
  <c r="I29"/>
  <c r="M29" s="1"/>
  <c r="P29" i="28"/>
  <c r="N102"/>
  <c r="J102" i="30" s="1"/>
  <c r="I102"/>
  <c r="M102" s="1"/>
  <c r="P102" i="28"/>
  <c r="N32"/>
  <c r="J32" i="30" s="1"/>
  <c r="I32"/>
  <c r="M32" s="1"/>
  <c r="P32" i="28"/>
  <c r="I26" i="30"/>
  <c r="M26" s="1"/>
  <c r="I26" i="32" s="1"/>
  <c r="M26" s="1"/>
  <c r="N26" i="28"/>
  <c r="J26" i="30" s="1"/>
  <c r="P26" i="28"/>
  <c r="I108" i="30"/>
  <c r="M108" s="1"/>
  <c r="P108" i="28"/>
  <c r="N108"/>
  <c r="J108" i="30" s="1"/>
  <c r="I85"/>
  <c r="M85" s="1"/>
  <c r="P85" i="28"/>
  <c r="N85"/>
  <c r="J85" i="30" s="1"/>
  <c r="I79"/>
  <c r="M79" s="1"/>
  <c r="N79" i="28"/>
  <c r="J79" i="30" s="1"/>
  <c r="P79" i="28"/>
  <c r="I63" i="30"/>
  <c r="M63" s="1"/>
  <c r="P63" i="28"/>
  <c r="N63"/>
  <c r="J63" i="30" s="1"/>
  <c r="N28" i="28"/>
  <c r="J28" i="30" s="1"/>
  <c r="I28"/>
  <c r="M28" s="1"/>
  <c r="P28" i="28"/>
  <c r="N103"/>
  <c r="J103" i="30" s="1"/>
  <c r="I103"/>
  <c r="M103" s="1"/>
  <c r="P103" i="28"/>
  <c r="I89"/>
  <c r="M89" s="1"/>
  <c r="P89" i="26"/>
  <c r="N89"/>
  <c r="J89" i="28" s="1"/>
  <c r="N84" i="26"/>
  <c r="J84" i="28" s="1"/>
  <c r="I84"/>
  <c r="M84" s="1"/>
  <c r="P84" i="26"/>
  <c r="N56"/>
  <c r="J56" i="28" s="1"/>
  <c r="I56"/>
  <c r="M56" s="1"/>
  <c r="P56" i="26"/>
  <c r="I69" i="30"/>
  <c r="M69" s="1"/>
  <c r="P69" i="28"/>
  <c r="N69"/>
  <c r="J69" i="30" s="1"/>
  <c r="N52" i="28"/>
  <c r="J52" i="30" s="1"/>
  <c r="I52"/>
  <c r="M52" s="1"/>
  <c r="P52" i="28"/>
  <c r="I37" i="30"/>
  <c r="M37" s="1"/>
  <c r="N37" i="28"/>
  <c r="J37" i="30" s="1"/>
  <c r="P37" i="28"/>
  <c r="I27" i="30"/>
  <c r="M27" s="1"/>
  <c r="P27" i="28"/>
  <c r="N27"/>
  <c r="J27" i="30" s="1"/>
  <c r="N99" i="28"/>
  <c r="J99" i="30" s="1"/>
  <c r="I99"/>
  <c r="M99" s="1"/>
  <c r="P99" i="28"/>
  <c r="N77"/>
  <c r="J77" i="30" s="1"/>
  <c r="I77"/>
  <c r="M77" s="1"/>
  <c r="P77" i="28"/>
  <c r="I57" i="30"/>
  <c r="M57" s="1"/>
  <c r="P57" i="28"/>
  <c r="N57"/>
  <c r="J57" i="30" s="1"/>
  <c r="I47"/>
  <c r="M47" s="1"/>
  <c r="P47" i="28"/>
  <c r="N47"/>
  <c r="J47" i="30" s="1"/>
  <c r="N24" i="28"/>
  <c r="J24" i="30" s="1"/>
  <c r="I24"/>
  <c r="M24" s="1"/>
  <c r="P24" i="28"/>
  <c r="I100" i="30"/>
  <c r="M100" s="1"/>
  <c r="P100" i="28"/>
  <c r="N100"/>
  <c r="J100" i="30" s="1"/>
  <c r="N84" i="18"/>
  <c r="J84" i="26" s="1"/>
  <c r="G120" i="18"/>
  <c r="P110"/>
  <c r="N25"/>
  <c r="J25" i="26" s="1"/>
  <c r="P84" i="18"/>
  <c r="J41"/>
  <c r="L41"/>
  <c r="P41"/>
  <c r="N41"/>
  <c r="J41" i="26" s="1"/>
  <c r="J105" i="18"/>
  <c r="G126"/>
  <c r="N95"/>
  <c r="J95" i="26" s="1"/>
  <c r="J89" i="18"/>
  <c r="G125"/>
  <c r="J83"/>
  <c r="G82"/>
  <c r="G122"/>
  <c r="G60"/>
  <c r="G123"/>
  <c r="J17"/>
  <c r="P25"/>
  <c r="N110"/>
  <c r="J110" i="26" s="1"/>
  <c r="P89" i="18"/>
  <c r="P95"/>
  <c r="L17"/>
  <c r="L89"/>
  <c r="N89"/>
  <c r="J89" i="26" s="1"/>
  <c r="L95" i="18"/>
  <c r="P17"/>
  <c r="N17"/>
  <c r="J17" i="26" s="1"/>
  <c r="N49" i="32" l="1"/>
  <c r="P49"/>
  <c r="P26"/>
  <c r="N26"/>
  <c r="N24" i="30"/>
  <c r="P24"/>
  <c r="P47"/>
  <c r="N47"/>
  <c r="N99"/>
  <c r="P99"/>
  <c r="N27"/>
  <c r="P27"/>
  <c r="N28"/>
  <c r="P28"/>
  <c r="P63"/>
  <c r="N63"/>
  <c r="P26"/>
  <c r="N26"/>
  <c r="J26" i="32" s="1"/>
  <c r="N29" i="30"/>
  <c r="P29"/>
  <c r="N110" i="28"/>
  <c r="J110" i="30" s="1"/>
  <c r="I110"/>
  <c r="M110" s="1"/>
  <c r="I110" i="32" s="1"/>
  <c r="M110" s="1"/>
  <c r="P110" i="28"/>
  <c r="N65" i="30"/>
  <c r="P65"/>
  <c r="P18"/>
  <c r="N18"/>
  <c r="N33"/>
  <c r="P33"/>
  <c r="N106"/>
  <c r="P106"/>
  <c r="N86"/>
  <c r="P86"/>
  <c r="N34"/>
  <c r="P34"/>
  <c r="N96"/>
  <c r="P96"/>
  <c r="P35"/>
  <c r="N35"/>
  <c r="P97"/>
  <c r="N97"/>
  <c r="P57"/>
  <c r="N57"/>
  <c r="P37"/>
  <c r="N37"/>
  <c r="N56" i="28"/>
  <c r="J56" i="30" s="1"/>
  <c r="I56"/>
  <c r="M56" s="1"/>
  <c r="P56" i="28"/>
  <c r="P79" i="30"/>
  <c r="N79"/>
  <c r="P46"/>
  <c r="N46"/>
  <c r="N55" i="28"/>
  <c r="J55" i="30" s="1"/>
  <c r="I55"/>
  <c r="M55" s="1"/>
  <c r="P55" i="28"/>
  <c r="N19" i="30"/>
  <c r="P19"/>
  <c r="P48"/>
  <c r="N48"/>
  <c r="N90" i="28"/>
  <c r="J90" i="30" s="1"/>
  <c r="I90"/>
  <c r="M90" s="1"/>
  <c r="P90" i="28"/>
  <c r="N36" i="30"/>
  <c r="P36"/>
  <c r="P53"/>
  <c r="N53"/>
  <c r="P22"/>
  <c r="N22"/>
  <c r="P39"/>
  <c r="N39"/>
  <c r="N95" i="28"/>
  <c r="J95" i="30" s="1"/>
  <c r="I95"/>
  <c r="M95" s="1"/>
  <c r="P95" i="28"/>
  <c r="N100" i="30"/>
  <c r="P100"/>
  <c r="N84" i="28"/>
  <c r="J84" i="30" s="1"/>
  <c r="I84"/>
  <c r="M84" s="1"/>
  <c r="P84" i="28"/>
  <c r="N89"/>
  <c r="J89" i="30" s="1"/>
  <c r="I89"/>
  <c r="M89" s="1"/>
  <c r="P89" i="28"/>
  <c r="P85" i="30"/>
  <c r="N85"/>
  <c r="P32"/>
  <c r="N32"/>
  <c r="N62"/>
  <c r="P62"/>
  <c r="N49"/>
  <c r="J49" i="32" s="1"/>
  <c r="P49" i="30"/>
  <c r="P21"/>
  <c r="N21"/>
  <c r="N64"/>
  <c r="P64"/>
  <c r="N91"/>
  <c r="P91"/>
  <c r="I25"/>
  <c r="M25" s="1"/>
  <c r="I25" i="32" s="1"/>
  <c r="M25" s="1"/>
  <c r="N25" i="28"/>
  <c r="J25" i="30" s="1"/>
  <c r="P25" i="28"/>
  <c r="N87" i="30"/>
  <c r="P87"/>
  <c r="N50"/>
  <c r="P50"/>
  <c r="N77"/>
  <c r="P77"/>
  <c r="P52"/>
  <c r="N52"/>
  <c r="N69"/>
  <c r="P69"/>
  <c r="P103"/>
  <c r="N103"/>
  <c r="N108"/>
  <c r="P108"/>
  <c r="N102"/>
  <c r="P102"/>
  <c r="P78"/>
  <c r="N78"/>
  <c r="N51"/>
  <c r="P51"/>
  <c r="N17" i="28"/>
  <c r="J17" i="30" s="1"/>
  <c r="I17"/>
  <c r="M17" s="1"/>
  <c r="P17" i="28"/>
  <c r="N20" i="30"/>
  <c r="P20"/>
  <c r="N68"/>
  <c r="P68"/>
  <c r="N23"/>
  <c r="P23"/>
  <c r="P66"/>
  <c r="N66"/>
  <c r="P80" i="18"/>
  <c r="L80"/>
  <c r="N80"/>
  <c r="J80" i="26" s="1"/>
  <c r="J80" i="18"/>
  <c r="G15"/>
  <c r="J16"/>
  <c r="L16"/>
  <c r="M16"/>
  <c r="M45"/>
  <c r="I45" i="26" s="1"/>
  <c r="M45" s="1"/>
  <c r="M105" i="18"/>
  <c r="I105" i="26" s="1"/>
  <c r="M105" s="1"/>
  <c r="K76" i="18"/>
  <c r="N110" i="32" l="1"/>
  <c r="P110"/>
  <c r="N25"/>
  <c r="P25"/>
  <c r="N84" i="30"/>
  <c r="P84"/>
  <c r="N90"/>
  <c r="P90"/>
  <c r="N55"/>
  <c r="P55"/>
  <c r="N110"/>
  <c r="J110" i="32" s="1"/>
  <c r="P110" i="30"/>
  <c r="I16" i="26"/>
  <c r="M16" s="1"/>
  <c r="N105"/>
  <c r="J105" i="28" s="1"/>
  <c r="I105"/>
  <c r="M105" s="1"/>
  <c r="P105" i="26"/>
  <c r="N56" i="30"/>
  <c r="P56"/>
  <c r="I45" i="28"/>
  <c r="M45" s="1"/>
  <c r="P45" i="26"/>
  <c r="N45"/>
  <c r="J45" i="28" s="1"/>
  <c r="N17" i="30"/>
  <c r="P17"/>
  <c r="N25"/>
  <c r="J25" i="32" s="1"/>
  <c r="P25" i="30"/>
  <c r="N89"/>
  <c r="P89"/>
  <c r="N95"/>
  <c r="P95"/>
  <c r="M76" i="18"/>
  <c r="P76" s="1"/>
  <c r="K70"/>
  <c r="M70" s="1"/>
  <c r="J70"/>
  <c r="N70"/>
  <c r="J70" i="26" s="1"/>
  <c r="L70" i="18"/>
  <c r="G67"/>
  <c r="N16"/>
  <c r="J16" i="26" s="1"/>
  <c r="P45" i="18"/>
  <c r="J76"/>
  <c r="G75"/>
  <c r="G121"/>
  <c r="J55"/>
  <c r="L76"/>
  <c r="L105"/>
  <c r="P105"/>
  <c r="N105"/>
  <c r="J105" i="26" s="1"/>
  <c r="N45" i="18"/>
  <c r="J45" i="26" s="1"/>
  <c r="P16" i="18"/>
  <c r="P55"/>
  <c r="L55"/>
  <c r="N55"/>
  <c r="J55" i="26" s="1"/>
  <c r="I16" i="28" l="1"/>
  <c r="M16" s="1"/>
  <c r="P16" i="26"/>
  <c r="N16"/>
  <c r="J16" i="28" s="1"/>
  <c r="N76" i="18"/>
  <c r="J76" i="26" s="1"/>
  <c r="I76"/>
  <c r="M76" s="1"/>
  <c r="P70" i="18"/>
  <c r="I70" i="26"/>
  <c r="M70" s="1"/>
  <c r="N45" i="28"/>
  <c r="J45" i="30" s="1"/>
  <c r="I45"/>
  <c r="M45" s="1"/>
  <c r="I45" i="32" s="1"/>
  <c r="M45" s="1"/>
  <c r="P45" i="28"/>
  <c r="I105" i="30"/>
  <c r="M105" s="1"/>
  <c r="I105" i="32" s="1"/>
  <c r="M105" s="1"/>
  <c r="N105" i="28"/>
  <c r="J105" i="30" s="1"/>
  <c r="P105" i="28"/>
  <c r="G54" i="18"/>
  <c r="G124" s="1"/>
  <c r="G127" s="1"/>
  <c r="G119"/>
  <c r="H80" s="1"/>
  <c r="L72"/>
  <c r="J72"/>
  <c r="P72"/>
  <c r="N72"/>
  <c r="J72" i="26" s="1"/>
  <c r="J67" i="18"/>
  <c r="J119"/>
  <c r="H22"/>
  <c r="H102"/>
  <c r="H89"/>
  <c r="H86"/>
  <c r="H23"/>
  <c r="H47"/>
  <c r="H87"/>
  <c r="H28"/>
  <c r="H27"/>
  <c r="H78"/>
  <c r="H113"/>
  <c r="H108"/>
  <c r="H17"/>
  <c r="H76"/>
  <c r="H106"/>
  <c r="H95"/>
  <c r="H35"/>
  <c r="H45"/>
  <c r="H68"/>
  <c r="H85"/>
  <c r="H18"/>
  <c r="H103"/>
  <c r="H29"/>
  <c r="H111"/>
  <c r="H97"/>
  <c r="H32"/>
  <c r="H110"/>
  <c r="H77"/>
  <c r="H69"/>
  <c r="H39"/>
  <c r="H33"/>
  <c r="P105" i="32" l="1"/>
  <c r="N105"/>
  <c r="N45"/>
  <c r="P45"/>
  <c r="H84" i="18"/>
  <c r="H115"/>
  <c r="H99"/>
  <c r="H50"/>
  <c r="H64"/>
  <c r="H91"/>
  <c r="H119"/>
  <c r="N16" i="28"/>
  <c r="J16" i="30" s="1"/>
  <c r="I16"/>
  <c r="M16" s="1"/>
  <c r="I16" i="32" s="1"/>
  <c r="M16" s="1"/>
  <c r="P16" i="28"/>
  <c r="N45" i="30"/>
  <c r="J45" i="32" s="1"/>
  <c r="P45" i="30"/>
  <c r="I76" i="28"/>
  <c r="M76" s="1"/>
  <c r="N76" i="26"/>
  <c r="J76" i="28" s="1"/>
  <c r="P76" i="26"/>
  <c r="H38" i="18"/>
  <c r="H42"/>
  <c r="H43"/>
  <c r="H109"/>
  <c r="P105" i="30"/>
  <c r="N105"/>
  <c r="J105" i="32" s="1"/>
  <c r="N70" i="26"/>
  <c r="J70" i="28" s="1"/>
  <c r="I70"/>
  <c r="M70" s="1"/>
  <c r="P70" i="26"/>
  <c r="H116" i="18"/>
  <c r="H34"/>
  <c r="H51"/>
  <c r="H46"/>
  <c r="H66"/>
  <c r="H105"/>
  <c r="H37"/>
  <c r="H112"/>
  <c r="H100"/>
  <c r="H24"/>
  <c r="H26"/>
  <c r="H19"/>
  <c r="H57"/>
  <c r="H16"/>
  <c r="H65"/>
  <c r="H81"/>
  <c r="H83"/>
  <c r="H90"/>
  <c r="H117"/>
  <c r="H20"/>
  <c r="H67"/>
  <c r="H61"/>
  <c r="H25"/>
  <c r="H36"/>
  <c r="H98"/>
  <c r="H52"/>
  <c r="H21"/>
  <c r="H55"/>
  <c r="H118"/>
  <c r="H49"/>
  <c r="H56"/>
  <c r="H92"/>
  <c r="H114"/>
  <c r="H93"/>
  <c r="H59"/>
  <c r="H30"/>
  <c r="H58"/>
  <c r="H94"/>
  <c r="H71"/>
  <c r="H44"/>
  <c r="H101"/>
  <c r="H107"/>
  <c r="H73"/>
  <c r="H31"/>
  <c r="H74"/>
  <c r="H70"/>
  <c r="H48"/>
  <c r="H79"/>
  <c r="H63"/>
  <c r="H96"/>
  <c r="H53"/>
  <c r="H62"/>
  <c r="H40"/>
  <c r="H41"/>
  <c r="H72"/>
  <c r="K61"/>
  <c r="K119" s="1"/>
  <c r="K67"/>
  <c r="M67" s="1"/>
  <c r="I67" i="26" s="1"/>
  <c r="M67" s="1"/>
  <c r="M83" i="18"/>
  <c r="I83" i="26" s="1"/>
  <c r="M83" s="1"/>
  <c r="L98" i="18"/>
  <c r="L113"/>
  <c r="M98"/>
  <c r="I98" i="26" s="1"/>
  <c r="M98" s="1"/>
  <c r="M116" i="18"/>
  <c r="I116" i="26" s="1"/>
  <c r="M116" s="1"/>
  <c r="L116" i="18"/>
  <c r="N16" i="32" l="1"/>
  <c r="P16"/>
  <c r="M119"/>
  <c r="N70" i="28"/>
  <c r="J70" i="30" s="1"/>
  <c r="I70"/>
  <c r="M70" s="1"/>
  <c r="P70" i="28"/>
  <c r="N16" i="30"/>
  <c r="J16" i="32" s="1"/>
  <c r="P16" i="30"/>
  <c r="I98" i="28"/>
  <c r="M98" s="1"/>
  <c r="P98" i="26"/>
  <c r="N98"/>
  <c r="J98" i="28" s="1"/>
  <c r="N76"/>
  <c r="J76" i="30" s="1"/>
  <c r="I76"/>
  <c r="M76" s="1"/>
  <c r="P76" i="28"/>
  <c r="N67" i="26"/>
  <c r="J67" i="28" s="1"/>
  <c r="I67"/>
  <c r="M67" s="1"/>
  <c r="P67" i="26"/>
  <c r="N116"/>
  <c r="J116" i="28" s="1"/>
  <c r="I116"/>
  <c r="M116" s="1"/>
  <c r="P116" i="26"/>
  <c r="N83"/>
  <c r="J83" i="28" s="1"/>
  <c r="I83"/>
  <c r="M83" s="1"/>
  <c r="P83" i="26"/>
  <c r="P98" i="18"/>
  <c r="P116"/>
  <c r="L119"/>
  <c r="M61"/>
  <c r="L61"/>
  <c r="M113"/>
  <c r="I113" i="26" s="1"/>
  <c r="M113" s="1"/>
  <c r="P67" i="18"/>
  <c r="N67"/>
  <c r="J67" i="26" s="1"/>
  <c r="P83" i="18"/>
  <c r="N83"/>
  <c r="J83" i="26" s="1"/>
  <c r="N116" i="18"/>
  <c r="J116" i="26" s="1"/>
  <c r="N98" i="18"/>
  <c r="J98" i="26" s="1"/>
  <c r="L83" i="18"/>
  <c r="L67"/>
  <c r="N119" i="32" l="1"/>
  <c r="P119"/>
  <c r="I61" i="26"/>
  <c r="M61" s="1"/>
  <c r="M119" i="18"/>
  <c r="N116" i="28"/>
  <c r="J116" i="30" s="1"/>
  <c r="I116"/>
  <c r="M116" s="1"/>
  <c r="P116" i="28"/>
  <c r="N67"/>
  <c r="J67" i="30" s="1"/>
  <c r="I67"/>
  <c r="M67" s="1"/>
  <c r="P67" i="28"/>
  <c r="N70" i="30"/>
  <c r="P70"/>
  <c r="N76"/>
  <c r="P76"/>
  <c r="N98" i="28"/>
  <c r="J98" i="30" s="1"/>
  <c r="I98"/>
  <c r="M98" s="1"/>
  <c r="P98" i="28"/>
  <c r="N113" i="26"/>
  <c r="J113" i="28" s="1"/>
  <c r="I113"/>
  <c r="M113" s="1"/>
  <c r="P113" i="26"/>
  <c r="N83" i="28"/>
  <c r="J83" i="30" s="1"/>
  <c r="I83"/>
  <c r="M83" s="1"/>
  <c r="P83" i="28"/>
  <c r="P61" i="18"/>
  <c r="N113"/>
  <c r="J113" i="26" s="1"/>
  <c r="N61" i="18"/>
  <c r="J61" i="26" s="1"/>
  <c r="P113" i="18"/>
  <c r="I61" i="28" l="1"/>
  <c r="M61" s="1"/>
  <c r="P61" i="26"/>
  <c r="N61"/>
  <c r="J61" i="28" s="1"/>
  <c r="M119" i="26"/>
  <c r="P119" i="18"/>
  <c r="I119" i="26"/>
  <c r="N113" i="28"/>
  <c r="J113" i="30" s="1"/>
  <c r="I113"/>
  <c r="M113" s="1"/>
  <c r="P113" i="28"/>
  <c r="N98" i="30"/>
  <c r="P98"/>
  <c r="N67"/>
  <c r="P67"/>
  <c r="N83"/>
  <c r="P83"/>
  <c r="N116"/>
  <c r="P116"/>
  <c r="N119" i="18"/>
  <c r="J119" i="26" s="1"/>
  <c r="K15" i="25"/>
  <c r="N61" i="28" l="1"/>
  <c r="J61" i="30" s="1"/>
  <c r="I61"/>
  <c r="M61" s="1"/>
  <c r="P61" i="28"/>
  <c r="M119"/>
  <c r="K34" i="25"/>
  <c r="L34" s="1"/>
  <c r="M15"/>
  <c r="N113" i="30"/>
  <c r="P113"/>
  <c r="I119" i="28"/>
  <c r="P119" i="26"/>
  <c r="N119"/>
  <c r="J119" i="28" s="1"/>
  <c r="L15" i="25"/>
  <c r="N15" l="1"/>
  <c r="J15" i="27" s="1"/>
  <c r="I15"/>
  <c r="M15" s="1"/>
  <c r="N61" i="30"/>
  <c r="P61"/>
  <c r="M119"/>
  <c r="I119" i="32" s="1"/>
  <c r="I119" i="30"/>
  <c r="P119" i="28"/>
  <c r="N119"/>
  <c r="J119" i="30" s="1"/>
  <c r="P15" i="25"/>
  <c r="M34"/>
  <c r="I34" i="27" s="1"/>
  <c r="N119" i="30" l="1"/>
  <c r="J119" i="32" s="1"/>
  <c r="P119" i="30"/>
  <c r="I15" i="29"/>
  <c r="M15" s="1"/>
  <c r="M34" i="27"/>
  <c r="N15"/>
  <c r="J15" i="29" s="1"/>
  <c r="P15" i="27"/>
  <c r="N34" i="25"/>
  <c r="J34" i="27" s="1"/>
  <c r="P34" i="25"/>
  <c r="I15" i="31" l="1"/>
  <c r="M15" s="1"/>
  <c r="P15" i="29"/>
  <c r="M34"/>
  <c r="N15"/>
  <c r="J15" i="31" s="1"/>
  <c r="I34" i="29"/>
  <c r="P34" i="27"/>
  <c r="N34"/>
  <c r="J34" i="29" s="1"/>
  <c r="N15" i="31" l="1"/>
  <c r="P15"/>
  <c r="M34"/>
  <c r="I34"/>
  <c r="P34" i="29"/>
  <c r="N34"/>
  <c r="J34" i="31" s="1"/>
  <c r="N34" l="1"/>
  <c r="P34"/>
</calcChain>
</file>

<file path=xl/sharedStrings.xml><?xml version="1.0" encoding="utf-8"?>
<sst xmlns="http://schemas.openxmlformats.org/spreadsheetml/2006/main" count="2588" uniqueCount="211">
  <si>
    <t xml:space="preserve"> </t>
  </si>
  <si>
    <t>Penyediaan Layanan bagi Anak yang Memerlukan Perlindungan Khusus yang Memerlukan Koordinasi Tingkat Daerah Provinsi</t>
  </si>
  <si>
    <t>PROGRAM PERLINDUNGAN PEREMPUAN</t>
  </si>
  <si>
    <t>Penyediaan Jasa Penunjang Urusan Pemerintahan Daerah</t>
  </si>
  <si>
    <t>Administrasi Umum Perangkat Daerah</t>
  </si>
  <si>
    <t>PROGRAM PENUNJANG URUSAN PEMERINTAHAN DAERAH PROVINSI (UPTD)</t>
  </si>
  <si>
    <t>Pemberdayaan dan Peningkatan Peran serta Organisasi Kemasyarakatan Tingkat Daerah Provinsi dalam Pembangunan Keluarga Melalui Pembinaan Ketahanan dan Kesejahteraan Keluarga</t>
  </si>
  <si>
    <t>1.02</t>
  </si>
  <si>
    <t>1.01</t>
  </si>
  <si>
    <t>PROGRAM PEMBERDAYAAN DAN PENINGKATAN KELUARGA SEJAHTERA (KS)</t>
  </si>
  <si>
    <t>PROGRAM PEMBINAAN KELUARGA BERENCANA (KB)</t>
  </si>
  <si>
    <t>Pemaduan dan Sinkronisasi Kebijakan Pemerintah Pusat dengan Pemerintah Daerah Provinsi dalam rangka Pengendalian Kuantitas Penduduk</t>
  </si>
  <si>
    <t>PROGRAM PENGENDALIAN PENDUDUK</t>
  </si>
  <si>
    <t>Penguatan dan Pengembangan Lembaga Penyedia Layanan bagi Anak yang Memerlukan Perlindungan Khusus Tingkat Daerah Provinsi dan Lintas Daerah Kabupaten/Kota</t>
  </si>
  <si>
    <t>1.03</t>
  </si>
  <si>
    <t>Pelembagaan PHA pada Lembaga Pemerintah, Non Pemerintah, dan Dunia Usaha Kewenangan Provinsi</t>
  </si>
  <si>
    <t>PROGRAM PEMENUHAN HAK ANAK (PHA)</t>
  </si>
  <si>
    <t>Penguatan dan Pengembangan Lembaga Penyedia Layanan Perlindungan Perempuan Kewenangan Provinsi</t>
  </si>
  <si>
    <t>Pencegahan Kekerasan terhadap Perempuan yang melibatkan para Pihak Lingkup Daerah Provinsi dan Lintas Daerah Kabupaten/Kota</t>
  </si>
  <si>
    <t>Pelembagaan Pengarusutamaan Gender (PUG) pada Lembaga Pemerintah Kewenangan Provinsi</t>
  </si>
  <si>
    <t>PROGRAM PENGARUSUTAMAAN GENDER DAN PEMBERDAYAAN PEREMPUAN</t>
  </si>
  <si>
    <t>Pemeliharaan Barang Milik Daerah Penunjang Urusan Pemerintahan Daerah</t>
  </si>
  <si>
    <t>1.09</t>
  </si>
  <si>
    <t>1.08</t>
  </si>
  <si>
    <t>1.06</t>
  </si>
  <si>
    <t>Administrasi Barang Milik Daerah pada Perangkat Daerah</t>
  </si>
  <si>
    <t>Administrasi Keuangan Perangkat Daerah</t>
  </si>
  <si>
    <t>Perencanaan, Penganggaran, dan Evaluasi Kinerja Perangkat Daerah</t>
  </si>
  <si>
    <t>%</t>
  </si>
  <si>
    <t>Rp</t>
  </si>
  <si>
    <t>Fisik</t>
  </si>
  <si>
    <t>f</t>
  </si>
  <si>
    <t>Keuangan</t>
  </si>
  <si>
    <t>s.d bulan ini</t>
  </si>
  <si>
    <t>Bulan ini</t>
  </si>
  <si>
    <t>Bulan lalu</t>
  </si>
  <si>
    <t>Sisa Anggaran</t>
  </si>
  <si>
    <t>Realisasi Pelaksanaan Anggaran</t>
  </si>
  <si>
    <t xml:space="preserve">Bobot (%) </t>
  </si>
  <si>
    <t>Jumlah Anggaran</t>
  </si>
  <si>
    <t>Bulan</t>
  </si>
  <si>
    <t>Jenis BelanJa</t>
  </si>
  <si>
    <t>Kode Dan Nama urusan</t>
  </si>
  <si>
    <t>Pencegahan Kekerasan terhadap Anak yang Melibatkan para Pihak Lingkup Daerah Provinsi dan Lintas Daerah Kabupaten/Kota</t>
  </si>
  <si>
    <t>: 2 URUSAN PEMERINTAHAN WAJIB YANG TIDAK BERKAITAN DENGAN PELAYANAN DASAR</t>
  </si>
  <si>
    <t>: Belanja Operasi/Belanja modal</t>
  </si>
  <si>
    <t>: 2.08.2.14.0.00.02.0000 DINAS PEMBERDAYAAN PEREMPUAN, PERLINDUNGAN ANAK, PENGENDALIAN PENDUDUK DAN KELUARGA BERENCANA</t>
  </si>
  <si>
    <t>Penyediaan Layanan Rujukan Lanjutan Bagi Perempuan Korban Kekerasan yang memerlukan Koordinasi Tingkat Daerah Provinsi dan Lintas Daerah Kabupaten/Kota</t>
  </si>
  <si>
    <t xml:space="preserve">JUMLAH BELANJA </t>
  </si>
  <si>
    <t>Penyusunan Dokumen Perencanaan Perangkat Daerah</t>
  </si>
  <si>
    <t>Koordinasi dan Penyusunan Dokumen RKA-SKPD</t>
  </si>
  <si>
    <t>Koordinasi dan Penyusunan Dokumen Perubahan RKA-SKPD</t>
  </si>
  <si>
    <t>Koordinasi dan Penyusunan DPA-SKPD</t>
  </si>
  <si>
    <t>Koordinasi dan Penyusunan Perubahan DPA-SKPD</t>
  </si>
  <si>
    <t>Koordinasi dan Penyusunan Laporan Capaian Kinerja dan Ikhtisar Realisasi Kinerja SKPD</t>
  </si>
  <si>
    <t>Evaluasi Kinerja Perangkat Daerah</t>
  </si>
  <si>
    <t>Penyediaan Gaji dan Tunjangan ASN</t>
  </si>
  <si>
    <t>Penyediaan Administrasi Pelaksanaan Tugas ASN</t>
  </si>
  <si>
    <t>Koordinasi dan Penyusunan Laporan Keuangan Akhir Tahun SKPD</t>
  </si>
  <si>
    <t>Penatausahaan Barang Milik Daerah pada SKPD</t>
  </si>
  <si>
    <t>Penyediaan Komponen Instalasi Listrik/Penerangan Bangunan Kantor</t>
  </si>
  <si>
    <t>Penyediaan Peralatan dan Perlengkapan Kantor</t>
  </si>
  <si>
    <t>Penyediaan Barang Cetakan dan Penggandaan</t>
  </si>
  <si>
    <t>Penyediaan Bahan Bacaan dan Peraturan Perundang-undangan</t>
  </si>
  <si>
    <t>Penyelenggaraan Rapat Koordinasi dan Konsultasi SKPD</t>
  </si>
  <si>
    <t>Penyediaan Jasa Surat Menyurat</t>
  </si>
  <si>
    <t>Penyediaan Jasa Komunikasi, Sumber Daya Air dan Listrik</t>
  </si>
  <si>
    <t>Penyediaan Jasa Peralatan dan Perlengkapan Kantor</t>
  </si>
  <si>
    <t>Penyediaan Jasa Pelayanan Umum Kantor</t>
  </si>
  <si>
    <t>Penyediaan Jasa Pemeliharaan, Biaya Pemeliharaan dan Pajak Kendaraan Perorangan Dinas atau Kendaraan Dinas Jabatan</t>
  </si>
  <si>
    <t>Pemeliharaan Peralatan dan Mesin Lainnya</t>
  </si>
  <si>
    <t>Koordinasi dan Sinkronisasi Pelaksanaan Kebijakan, Program dan Kegiatan Pencegahan Kekerasan terhadap Perempuan Kewenangan Provinsi</t>
  </si>
  <si>
    <t>Peningkatan Kapasitas Sumber Daya Lembaga Penyedia Layanan Penanganan bagi Perempuan Korban Kekerasan Kewenangan Provinsi</t>
  </si>
  <si>
    <t>Penyediaan Kebutuhan Spesifik bagi Perempuan dalam Situasi Darurat dan Kondisi Khusus Kewenangan Provinsi</t>
  </si>
  <si>
    <t>Koordinasi dan Sinkronisasi Pelaksanaan Penyediaan Layanan Rujukan Lanjutan bagi Perempuan Korban Kekerasan Kewenangan Provinsi</t>
  </si>
  <si>
    <t>Uraian Program/Kegiatan/Sub.Kegiatan</t>
  </si>
  <si>
    <t>KODE</t>
  </si>
  <si>
    <t>Urusan</t>
  </si>
  <si>
    <t>Bidang Urusan</t>
  </si>
  <si>
    <t>Program</t>
  </si>
  <si>
    <t>Kegiatan</t>
  </si>
  <si>
    <t>Sub Kegiatan</t>
  </si>
  <si>
    <t>Koordinasi dan Sinkronisasi Pencegahan Kekerasan terhadap Anak Kewenangan Provinsi</t>
  </si>
  <si>
    <t>PROGRAM PERLINDUNGAN PEREMPUAN (UPTD PPA)</t>
  </si>
  <si>
    <t>POGRAM PERLINDUNGAN KHUSUS ANAK (UPTD PPA)</t>
  </si>
  <si>
    <t>PROGRAM PERLINDUNGAN PEREMPUAN (DINAS)</t>
  </si>
  <si>
    <t>DOKUMEN PELAKSANAAN ANGGARAN PROVINSI NTB</t>
  </si>
  <si>
    <t>Penyediaan Jasa Komunikasi, Sumber Daya Air, dan Listrik</t>
  </si>
  <si>
    <t>Pemeliharaan/Rehabilitasi Gedung Kantor dan Bangunan Lainnya</t>
  </si>
  <si>
    <t>Advokasi dan Sosialisasi GDPK</t>
  </si>
  <si>
    <t xml:space="preserve">Pengelolaan Pelaksanaan Desain Program Pembangunan Keluarga Melalui Pembinaan Ketahanan dan Kesejahteraan Keluarga </t>
  </si>
  <si>
    <t>PROGRAM PERLINDUNGAN PEREMPUAN (UPTD)</t>
  </si>
  <si>
    <t>POGRAM PERLINDUNGAN KHUSUS ANAK (UPTD)</t>
  </si>
  <si>
    <t>PROGRAM PENUNJANG URUSAN PEMERINTAHAN DAERAH PROVINSI (SEKRETARIAT)</t>
  </si>
  <si>
    <t>PROGRAM PERLINDUNGAN KHUSUS ANAK (PKA)</t>
  </si>
  <si>
    <t>Sekretariat</t>
  </si>
  <si>
    <t>Bidang PHA</t>
  </si>
  <si>
    <t>Bidang PKA</t>
  </si>
  <si>
    <t>Bidang PP</t>
  </si>
  <si>
    <t>Bidang KHP</t>
  </si>
  <si>
    <t>Bidang PPKB</t>
  </si>
  <si>
    <t>UPTD</t>
  </si>
  <si>
    <t>Total</t>
  </si>
  <si>
    <t>BIDANG PP</t>
  </si>
  <si>
    <t>BIDANG PHA</t>
  </si>
  <si>
    <t>BIDANG PKA</t>
  </si>
  <si>
    <t>BIDANG PPKB</t>
  </si>
  <si>
    <t>SEKRETARIAT</t>
  </si>
  <si>
    <t>BIDANG KHP</t>
  </si>
  <si>
    <t>PROGRAM PERLINDUNGAN KHUSUS ANAK (DINAS)</t>
  </si>
  <si>
    <t>LAPORAN REALISASI BULANAN PELAKSANAAN PROGRAM/KEGIATAN</t>
  </si>
  <si>
    <t>PROGRAM PENINGKATAN KUALITAS KELUARGA (KHP)</t>
  </si>
  <si>
    <t>Kode dan organiasi Nama urusan</t>
  </si>
  <si>
    <t>Kode Dan Nama Urusan</t>
  </si>
  <si>
    <t>Penyusunan Perencanaan Kebutuhan Barang Milik Daerah SKPD (PAD)</t>
  </si>
  <si>
    <t>Rekonsiliasi dan Penyusunan Laporan Barang Milik Daerah pada SKPD (PAD)</t>
  </si>
  <si>
    <t>1.07</t>
  </si>
  <si>
    <t>Pengadaan Barang Milik Daerah Penunjang Urusan Pemerintah Daerah</t>
  </si>
  <si>
    <t xml:space="preserve">Penatausahaan Arsip Dinamis pada SKPD </t>
  </si>
  <si>
    <t xml:space="preserve">Pengadaan Peralatan dan Mesin Lainnya </t>
  </si>
  <si>
    <t xml:space="preserve">Fasilitasi Kunjungan Tamu </t>
  </si>
  <si>
    <t>Peningkatan Kualitas Keluarga Dalam Mewujudkan Kesetaraan Gender (KG) dan Hak Anak Kewenangan Provinsi</t>
  </si>
  <si>
    <t xml:space="preserve">Koordinasi dan Sinkronisasi Pelembagaan Pemenuhan Hak Anak Kewenangan Provinsi </t>
  </si>
  <si>
    <t xml:space="preserve">Advokasi, Sosialisasi, dan Pendampingan Pelaksanaan Kebijakan Pemenuhan Hak Anak pada Lembaga Pemerintah. Non Pemerintah, Media, dan Dunia Usaha Kewenangan Provinsi </t>
  </si>
  <si>
    <t>Penguatan dan Pengembangan Lembaga Penyedia Layanan Peningkatan Kualitas Hidup Anak Kewenangan Provinsi</t>
  </si>
  <si>
    <t>Pengembangan Komunikasi, Informasi, dan Edukasi Pemenuhan Hak Anak (PAD)</t>
  </si>
  <si>
    <t xml:space="preserve">Peningkatan Kapasitas SDM Lembaga Penyedia Layanan Perlindungan dan Penanganan bagi AMPK Kewenangan </t>
  </si>
  <si>
    <t>Koordinasi Pelaksanaan Layanan AMPK Kewenangan Provinsi</t>
  </si>
  <si>
    <t>Pemberdayaan dan Peningkatan Peran Serta Organisasi Kemasyarakatan Tingkat Daerah Provinsi dalam Pengelolaan Pelayanan dan Pembinaan Kesertaan Ber-KB</t>
  </si>
  <si>
    <t xml:space="preserve">Pelaksanaan Fasilitasi, Pembimbingan, Pengembangan, dan Penguatan Penyiapan Pengasuhan 1000 HPK </t>
  </si>
  <si>
    <t>Peningkatan Kapasitas Mitra dan Organisasi Kemasyarakatan yang Mendapatkan Peningkatan Kapasitas dalam Pengelolaan Program Ketahanan Keluarga Melalui Bina Keluarga Balita (BKB), Bina Keluarga Remaja (BKR), Bina Keluarga Lansia (BKL), Usaha Peningkatan Pendapatan Keluarga Akseptor (UPPKA) dan Pemberdayaan Ekonomi Keluarga (PAD)</t>
  </si>
  <si>
    <t xml:space="preserve">Koordinasi Pelaksanaan Layanan AMPK Kewenangan Provinsi </t>
  </si>
  <si>
    <t>UP =</t>
  </si>
  <si>
    <t>LS =</t>
  </si>
  <si>
    <t>GU =</t>
  </si>
  <si>
    <t>S.d bulan ini</t>
  </si>
  <si>
    <t>Dra. Nunung Triningsih, MM</t>
  </si>
  <si>
    <t>Pembina Tingkat I (IV/b)</t>
  </si>
  <si>
    <t>NIP. 197001041989032004</t>
  </si>
  <si>
    <t>Kepala DP3AP2KB Povinsi NTB</t>
  </si>
  <si>
    <t>Mataram, 31 Januari 2025</t>
  </si>
  <si>
    <t>: Bulan Januari  (DPA Murni 2 Januari 2025)</t>
  </si>
  <si>
    <t>TAHUN ANGGARAN: 2025</t>
  </si>
  <si>
    <t>Pengadaan Kendaraan Dinas Operasional atau Lapangan</t>
  </si>
  <si>
    <t>Pengadaan Mebel</t>
  </si>
  <si>
    <t>Advokasi Kebijakan dan Pendampingan Penyelenggaraan PUG Kewenangan Provinsi</t>
  </si>
  <si>
    <t>Pemberdayaan Perempuan Bidang Politik, Hukum, Sosial, dan Ekonomi pada Organisasi Kemasyarakatan Kewenangan Provinsi</t>
  </si>
  <si>
    <t>Sosialisasi Peningkatan Partisipasi Perempuan di Bidang Politik, Hukum, Sosial, dan Ekonomi Kewenangan Provinsi</t>
  </si>
  <si>
    <t>Pengembangan Kegiatan Masyarakat untuk Peningkatan Kualitas Keluarga Kewenangan Provinsi</t>
  </si>
  <si>
    <t>Penguatan dan Pengembangan Lembaga Penyedia Layanan Peningkatan Kualitas Keluarga dalam Mewujudkan KG dan Hak Anak Kewenangan Provinsi</t>
  </si>
  <si>
    <t xml:space="preserve">Peningkatan Kapasitas Sumber Daya Lembaga Penyedia Layanan Peningkatan Kualitas Keluarga Kewenangan Provinsi </t>
  </si>
  <si>
    <t>PROGRAM PENGELOLAAN SISTEM DATA GENDER DAN ANAK (KHP)</t>
  </si>
  <si>
    <t>Pengumpulan, Pengolahan Analisis, dan Penyajian Data Gender dan Anak dalam Kelembagaan Data di Tingkat Daerah Provinsi</t>
  </si>
  <si>
    <t>Penyediaan Data Gender dan Anak Provinsi</t>
  </si>
  <si>
    <t>Advokasi dan Sosialisasi Pelaksanaan Pendidikan Kependudukan Jalur Formal di Satuan Pendidikan Jenjang SLTA-MA, Jalur Nonformal dan Informal pada Ormas Pengelola Kelompok Kegiatan Masyarakat</t>
  </si>
  <si>
    <t>Koordinasi, Penyediaan, dan Pengolahan Data Kependudukan Berbasis Keluarga</t>
  </si>
  <si>
    <t>Pemetaan Perkiraan Pengendalian Penduduk Cakupan Daerah Provinsi</t>
  </si>
  <si>
    <t>Peningkatan Peran Serta dan Kerja Sama Organisasi Kemasyarakatan dalam Pelayanan dan Pembinaan Kesertaan Ber-KB</t>
  </si>
  <si>
    <t>Sosialisasi dan Pembinaan Remaja tentang Generasi Berencana</t>
  </si>
  <si>
    <t>Mataram, 28 Februari 2025</t>
  </si>
  <si>
    <t>: Bulan Februari (DPA Murni 2 Januari 2025)</t>
  </si>
  <si>
    <t>DOKUMEN PELAKSANAAN ANGGARAN PROVINSI NTB SUMBER DAK FISIK DAN DAK NON FISIK</t>
  </si>
  <si>
    <t>Kode dan organisasi Nama urusan</t>
  </si>
  <si>
    <t>Pelaksanaan Fasilitasi, Pembimbingan, Pengembangan, dan Penguatan Penyiapan Pengasuhan 1000 HPK (DNF BOKB)</t>
  </si>
  <si>
    <t>Pencegahan Kekerasan terhadap Perempuan yang melibatkan para Pihak Lingkup Daerah Provinsi dan Lintas Daerah Kabupaten/Kota (DNF)</t>
  </si>
  <si>
    <t>Koordinasi dan Sinkronisasi Pelaksanaan Kebijakan, Program dan Kegiatan Pencegahan Kekerasan terhadap Perempuan Kewenangan Provinsi (DNF)</t>
  </si>
  <si>
    <t>Penguatan dan Pengembangan Lembaga Penyedia Layanan Perlindungan Perempuan Kewenangan Provinsi (DNF)</t>
  </si>
  <si>
    <t>Peningkatan Kapasitas Sumber Daya Lembaga Penyedia Layanan Penanganan bagi Perempuan Korban Kekerasan Kewenangan Provinsi (DNF)</t>
  </si>
  <si>
    <t>Pencegahan Kekerasan terhadap Anak yang Melibatkan para Pihak Lingkup Daerah Provinsi dan Lintas Daerah Kabupaten/Kota (DNF)</t>
  </si>
  <si>
    <t>Koordinasi dan Sinkronisasi Pencegahan Kekerasan terhadap Anak Kewenangan Provinsi (DNF)</t>
  </si>
  <si>
    <t>Penguatan dan Pengembangan Lembaga Penyedia Layanan bagi Anak yang Memerlukan Perlindungan Khusus Tingkat Daerah Provinsi dan Lintas Daerah Kabupaten/Kota (DNF)</t>
  </si>
  <si>
    <t>Peningkatan Kapasitas SDM Lembaga Penyedia Layanan Perlindungan dan Penanganan bagi AMPK Kewenangan (DNF)</t>
  </si>
  <si>
    <t>Pengelolaan Pelaksanaan Desain Program Pembangunan Keluarga Melalui Pembinaan Ketahanan dan Kesejahteraan Keluarga (DNF BOKB)</t>
  </si>
  <si>
    <t>Penyediaan Layanan Rujukan Lanjutan Bagi Perempuan Korban Kekerasan yang Memerlukan Koordinasi Tingkat Daerah Provinsi dan Lintas Daerah Kabupaten/Kota</t>
  </si>
  <si>
    <t>Penyediaan Layanan bagi Anak yang Memerlukan Perlindungan Khusus yang Memerlukan Koordinasi Tingkat Daerah Provinsi (DNF)</t>
  </si>
  <si>
    <t>Koordinasi Pelaksanaan Layanan AMPK Kewenangan Provinsi (DNF)</t>
  </si>
  <si>
    <t>Penyediaan Layanan Rujukan Lanjutan Bagi Perempuan Korban Kekerasan yang Memerlukan Koordinasi Tingkat Daerah Provinsi dan Lintas Daerah Kabupaten/Kota (DAK Fisik &amp; DAK Non Fisik)</t>
  </si>
  <si>
    <t>Koordinasi dan Sinkronisasi Pelaksanaan Penyediaan Layanan Rujukan Lanjutan bagi Perempuan Korban Kekerasan Kewenangan Provinsi (DAK Fisik &amp; DAK Non Fisik)</t>
  </si>
  <si>
    <t>Mataram, 31 Maret 2025</t>
  </si>
  <si>
    <t>: Bulan Maret (DPA Murni 2 Januari 2025)</t>
  </si>
  <si>
    <t>: Bulan Februari  (DPA Murni 2 Januari 2025)</t>
  </si>
  <si>
    <t>: Bulan Maret (DPA Pergeseran 14 Maret 2025)</t>
  </si>
  <si>
    <t>(SP2D No. 30)</t>
  </si>
  <si>
    <t>Mataram, 30 April 2025</t>
  </si>
  <si>
    <t>: Bulan April (DPA Pergeseran 14 Maret 2025)</t>
  </si>
  <si>
    <t>: Bulan April (DPA Murni 2 Januari 2025)</t>
  </si>
  <si>
    <t>(SP2D No. 41/GU 1)</t>
  </si>
  <si>
    <t>GU 1 =</t>
  </si>
  <si>
    <t>Mataram, 31 Mei 2025</t>
  </si>
  <si>
    <t>: Bulan Mei (DPA Pergeseran 14 Maret 2025)</t>
  </si>
  <si>
    <t>: Bulan Mei (DPA Murni 2 Januari 2025)</t>
  </si>
  <si>
    <t>(SP2D No. 46)</t>
  </si>
  <si>
    <t xml:space="preserve">(SP2D No. 57) </t>
  </si>
  <si>
    <t>Mataram, 30 Juni 2025</t>
  </si>
  <si>
    <t>Drs. H. Surya Bahari, M.MPd</t>
  </si>
  <si>
    <t>NIP. 196802191988111001</t>
  </si>
  <si>
    <t>Pembina Utama Muda (IV/c)</t>
  </si>
  <si>
    <t>: Bulan Juni (DPA Pergeseran 2 Juni 2025)</t>
  </si>
  <si>
    <t>GU 2 =</t>
  </si>
  <si>
    <t>(SP2D No. 73/GU 2)</t>
  </si>
  <si>
    <t>Mataram, 31 Juli 2025</t>
  </si>
  <si>
    <t>: Bulan Juli (DPA Pergeseran 2 Juni 2025)</t>
  </si>
  <si>
    <t>(SP2D No. 80)</t>
  </si>
  <si>
    <t>GU 3 =</t>
  </si>
  <si>
    <t>GU 4 =</t>
  </si>
  <si>
    <t>Mataram, 31 Agustus 2025</t>
  </si>
  <si>
    <t>: Bulan Agustus (DPA Pergeseran 2 Juni 2025)</t>
  </si>
  <si>
    <t>GU 5 =</t>
  </si>
  <si>
    <t>(SP2D No. 99/GU 5)</t>
  </si>
  <si>
    <t>(SP2D No. 100)</t>
  </si>
  <si>
    <t>(SP2D No. 104/1 Agustus 2025)</t>
  </si>
</sst>
</file>

<file path=xl/styles.xml><?xml version="1.0" encoding="utf-8"?>
<styleSheet xmlns="http://schemas.openxmlformats.org/spreadsheetml/2006/main">
  <numFmts count="7">
    <numFmt numFmtId="41" formatCode="_(* #,##0_);_(* \(#,##0\);_(* &quot;-&quot;_);_(@_)"/>
    <numFmt numFmtId="44" formatCode="_(&quot;$&quot;* #,##0.00_);_(&quot;$&quot;* \(#,##0.00\);_(&quot;$&quot;* &quot;-&quot;??_);_(@_)"/>
    <numFmt numFmtId="43" formatCode="_(* #,##0.00_);_(* \(#,##0.00\);_(* &quot;-&quot;??_);_(@_)"/>
    <numFmt numFmtId="164" formatCode="&quot;Rp&quot;#,##0_);[Red]\(&quot;Rp&quot;#,##0\)"/>
    <numFmt numFmtId="165" formatCode="_(* #,##0.0_);_(* \(#,##0.0\);_(* &quot;-&quot;_);_(@_)"/>
    <numFmt numFmtId="166" formatCode="_(* #,##0.00_);_(* \(#,##0.00\);_(* &quot;-&quot;_);_(@_)"/>
    <numFmt numFmtId="167" formatCode="_(* #,##0_);_(* \(#,##0\);_(* &quot;-&quot;??_);_(@_)"/>
  </numFmts>
  <fonts count="23">
    <font>
      <sz val="11"/>
      <color theme="1"/>
      <name val="Calibri"/>
      <family val="2"/>
      <charset val="1"/>
      <scheme val="minor"/>
    </font>
    <font>
      <sz val="11"/>
      <color theme="1"/>
      <name val="Calibri"/>
      <family val="2"/>
      <scheme val="minor"/>
    </font>
    <font>
      <sz val="11"/>
      <color theme="1"/>
      <name val="Calibri"/>
      <family val="2"/>
      <charset val="1"/>
      <scheme val="minor"/>
    </font>
    <font>
      <b/>
      <sz val="11"/>
      <color theme="1"/>
      <name val="Calibri"/>
      <family val="2"/>
      <charset val="1"/>
      <scheme val="minor"/>
    </font>
    <font>
      <sz val="11"/>
      <name val="Calibri"/>
      <family val="2"/>
      <scheme val="minor"/>
    </font>
    <font>
      <b/>
      <u/>
      <sz val="11"/>
      <color theme="1"/>
      <name val="Calibri"/>
      <family val="2"/>
      <charset val="1"/>
      <scheme val="minor"/>
    </font>
    <font>
      <b/>
      <sz val="14"/>
      <color theme="1"/>
      <name val="Calibri"/>
      <family val="2"/>
      <charset val="1"/>
      <scheme val="minor"/>
    </font>
    <font>
      <b/>
      <sz val="11"/>
      <name val="Calibri"/>
      <family val="2"/>
      <scheme val="minor"/>
    </font>
    <font>
      <b/>
      <sz val="11"/>
      <color theme="1"/>
      <name val="Calibri"/>
      <family val="2"/>
      <scheme val="minor"/>
    </font>
    <font>
      <b/>
      <i/>
      <sz val="11"/>
      <name val="Calibri"/>
      <family val="2"/>
      <scheme val="minor"/>
    </font>
    <font>
      <b/>
      <sz val="10"/>
      <name val="Calibri"/>
      <family val="2"/>
    </font>
    <font>
      <sz val="10"/>
      <name val="Calibri"/>
      <family val="2"/>
    </font>
    <font>
      <b/>
      <sz val="9"/>
      <name val="Calibri"/>
      <family val="2"/>
    </font>
    <font>
      <b/>
      <sz val="10"/>
      <color theme="1"/>
      <name val="Calibri"/>
      <family val="2"/>
      <scheme val="minor"/>
    </font>
    <font>
      <b/>
      <sz val="20"/>
      <name val="Calibri"/>
      <family val="2"/>
    </font>
    <font>
      <b/>
      <sz val="18"/>
      <name val="Calibri"/>
      <family val="2"/>
    </font>
    <font>
      <b/>
      <sz val="12"/>
      <name val="Calibri"/>
      <family val="2"/>
    </font>
    <font>
      <sz val="10"/>
      <name val="Calibri"/>
      <family val="2"/>
      <scheme val="minor"/>
    </font>
    <font>
      <b/>
      <sz val="10"/>
      <name val="Calibri"/>
      <family val="2"/>
      <scheme val="minor"/>
    </font>
    <font>
      <sz val="10"/>
      <color rgb="FF0070C0"/>
      <name val="Calibri"/>
      <family val="2"/>
    </font>
    <font>
      <sz val="10"/>
      <color rgb="FF0070C0"/>
      <name val="Calibri"/>
      <family val="2"/>
      <scheme val="minor"/>
    </font>
    <font>
      <b/>
      <sz val="10"/>
      <color rgb="FFFF0000"/>
      <name val="Calibri"/>
      <family val="2"/>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7" tint="0.59999389629810485"/>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s>
  <cellStyleXfs count="5">
    <xf numFmtId="0" fontId="0" fillId="0" borderId="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273">
    <xf numFmtId="0" fontId="0" fillId="0" borderId="0" xfId="0"/>
    <xf numFmtId="0" fontId="4" fillId="0" borderId="0" xfId="0" applyFont="1" applyFill="1" applyBorder="1" applyAlignment="1"/>
    <xf numFmtId="3" fontId="4" fillId="0" borderId="0" xfId="0" applyNumberFormat="1" applyFont="1" applyFill="1" applyBorder="1" applyAlignment="1">
      <alignment horizontal="right"/>
    </xf>
    <xf numFmtId="0" fontId="4" fillId="0" borderId="0" xfId="0" applyFont="1" applyFill="1" applyAlignment="1"/>
    <xf numFmtId="0" fontId="7" fillId="0" borderId="0" xfId="0" applyFont="1" applyFill="1" applyAlignment="1"/>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41" fontId="10" fillId="2" borderId="1" xfId="1" applyFont="1" applyFill="1" applyBorder="1" applyAlignment="1">
      <alignment horizontal="right" vertical="center"/>
    </xf>
    <xf numFmtId="10" fontId="10" fillId="2" borderId="1" xfId="2" applyNumberFormat="1" applyFont="1" applyFill="1" applyBorder="1" applyAlignment="1">
      <alignment horizontal="right" vertical="center"/>
    </xf>
    <xf numFmtId="41" fontId="10" fillId="2" borderId="1" xfId="0" applyNumberFormat="1" applyFont="1" applyFill="1" applyBorder="1" applyAlignment="1">
      <alignment horizontal="right" vertical="center"/>
    </xf>
    <xf numFmtId="43" fontId="10" fillId="2" borderId="1" xfId="0" applyNumberFormat="1" applyFont="1" applyFill="1" applyBorder="1" applyAlignment="1">
      <alignment horizontal="right" vertical="center"/>
    </xf>
    <xf numFmtId="166" fontId="10" fillId="2" borderId="1" xfId="0" applyNumberFormat="1" applyFont="1" applyFill="1" applyBorder="1" applyAlignment="1">
      <alignment horizontal="right" vertical="center"/>
    </xf>
    <xf numFmtId="2" fontId="10" fillId="2" borderId="1" xfId="0" applyNumberFormat="1" applyFont="1" applyFill="1" applyBorder="1" applyAlignment="1">
      <alignment vertic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3" fontId="11" fillId="0" borderId="1" xfId="0" applyNumberFormat="1" applyFont="1" applyFill="1" applyBorder="1" applyAlignment="1">
      <alignment vertical="center" wrapText="1"/>
    </xf>
    <xf numFmtId="10" fontId="11" fillId="0" borderId="1" xfId="2" applyNumberFormat="1" applyFont="1" applyFill="1" applyBorder="1" applyAlignment="1">
      <alignment horizontal="right" vertical="center"/>
    </xf>
    <xf numFmtId="41" fontId="11" fillId="0" borderId="1" xfId="0" applyNumberFormat="1" applyFont="1" applyFill="1" applyBorder="1" applyAlignment="1">
      <alignment horizontal="right" vertical="center"/>
    </xf>
    <xf numFmtId="166" fontId="11" fillId="0" borderId="1" xfId="0" applyNumberFormat="1" applyFont="1" applyFill="1" applyBorder="1" applyAlignment="1">
      <alignment horizontal="right" vertical="center"/>
    </xf>
    <xf numFmtId="41" fontId="11" fillId="0" borderId="1" xfId="1" applyFont="1" applyFill="1" applyBorder="1" applyAlignment="1">
      <alignment horizontal="right" vertical="center"/>
    </xf>
    <xf numFmtId="2" fontId="11" fillId="0" borderId="1" xfId="0" applyNumberFormat="1" applyFont="1" applyFill="1" applyBorder="1" applyAlignment="1">
      <alignment vertical="center"/>
    </xf>
    <xf numFmtId="0" fontId="11" fillId="0" borderId="1" xfId="0" applyFont="1" applyFill="1" applyBorder="1" applyAlignment="1">
      <alignment vertical="center"/>
    </xf>
    <xf numFmtId="41" fontId="11" fillId="0" borderId="1" xfId="1" applyFont="1" applyFill="1" applyBorder="1" applyAlignment="1">
      <alignment vertical="center"/>
    </xf>
    <xf numFmtId="3" fontId="11" fillId="0" borderId="1" xfId="0" applyNumberFormat="1" applyFont="1" applyFill="1" applyBorder="1" applyAlignment="1">
      <alignment horizontal="right" vertical="center"/>
    </xf>
    <xf numFmtId="3" fontId="10" fillId="2" borderId="1" xfId="0" applyNumberFormat="1" applyFont="1" applyFill="1" applyBorder="1" applyAlignment="1">
      <alignment horizontal="right" vertical="center"/>
    </xf>
    <xf numFmtId="0" fontId="10" fillId="2" borderId="1" xfId="0" applyFont="1" applyFill="1" applyBorder="1" applyAlignment="1">
      <alignment vertical="center"/>
    </xf>
    <xf numFmtId="43" fontId="10" fillId="0" borderId="1" xfId="0" applyNumberFormat="1" applyFont="1" applyFill="1" applyBorder="1" applyAlignment="1">
      <alignment horizontal="right" vertical="center"/>
    </xf>
    <xf numFmtId="166" fontId="10" fillId="0" borderId="1" xfId="0" applyNumberFormat="1" applyFont="1" applyFill="1" applyBorder="1" applyAlignment="1">
      <alignment horizontal="right" vertical="center"/>
    </xf>
    <xf numFmtId="41" fontId="10" fillId="0" borderId="1" xfId="1" applyFont="1" applyFill="1" applyBorder="1" applyAlignment="1">
      <alignment horizontal="right" vertical="center"/>
    </xf>
    <xf numFmtId="49" fontId="11" fillId="0" borderId="0" xfId="0" applyNumberFormat="1" applyFont="1" applyFill="1" applyBorder="1" applyAlignment="1">
      <alignment horizontal="left"/>
    </xf>
    <xf numFmtId="0" fontId="11" fillId="0" borderId="0" xfId="0" applyFont="1" applyFill="1" applyBorder="1" applyAlignment="1"/>
    <xf numFmtId="0" fontId="11" fillId="0" borderId="0" xfId="0" applyFont="1" applyFill="1" applyBorder="1" applyAlignment="1">
      <alignment wrapText="1"/>
    </xf>
    <xf numFmtId="3" fontId="11" fillId="0" borderId="0" xfId="0" applyNumberFormat="1" applyFont="1" applyFill="1" applyBorder="1" applyAlignment="1">
      <alignment horizontal="right"/>
    </xf>
    <xf numFmtId="0" fontId="7" fillId="2" borderId="0" xfId="0" applyFont="1" applyFill="1" applyAlignment="1"/>
    <xf numFmtId="0" fontId="10"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xf>
    <xf numFmtId="0" fontId="10" fillId="3" borderId="1" xfId="0" applyFont="1" applyFill="1" applyBorder="1" applyAlignment="1">
      <alignment vertical="center" wrapText="1"/>
    </xf>
    <xf numFmtId="41" fontId="10" fillId="3" borderId="1" xfId="1" applyFont="1" applyFill="1" applyBorder="1" applyAlignment="1">
      <alignment horizontal="right" vertical="center"/>
    </xf>
    <xf numFmtId="10" fontId="10" fillId="3" borderId="1" xfId="2" applyNumberFormat="1" applyFont="1" applyFill="1" applyBorder="1" applyAlignment="1">
      <alignment horizontal="right" vertical="center"/>
    </xf>
    <xf numFmtId="41" fontId="10" fillId="3" borderId="1" xfId="0" applyNumberFormat="1" applyFont="1" applyFill="1" applyBorder="1" applyAlignment="1">
      <alignment horizontal="right" vertical="center"/>
    </xf>
    <xf numFmtId="43" fontId="10" fillId="3" borderId="1" xfId="0" applyNumberFormat="1" applyFont="1" applyFill="1" applyBorder="1" applyAlignment="1">
      <alignment horizontal="right" vertical="center"/>
    </xf>
    <xf numFmtId="166" fontId="10" fillId="3" borderId="1" xfId="0" applyNumberFormat="1" applyFont="1" applyFill="1" applyBorder="1" applyAlignment="1">
      <alignment horizontal="right" vertical="center"/>
    </xf>
    <xf numFmtId="2" fontId="10" fillId="3" borderId="1" xfId="0" applyNumberFormat="1" applyFont="1" applyFill="1" applyBorder="1" applyAlignment="1">
      <alignment vertical="center"/>
    </xf>
    <xf numFmtId="3" fontId="10" fillId="2" borderId="1" xfId="0" applyNumberFormat="1" applyFont="1" applyFill="1" applyBorder="1" applyAlignment="1">
      <alignment vertical="center" wrapText="1"/>
    </xf>
    <xf numFmtId="3" fontId="10" fillId="3" borderId="1" xfId="0" applyNumberFormat="1" applyFont="1" applyFill="1" applyBorder="1" applyAlignment="1">
      <alignment horizontal="right" vertical="center"/>
    </xf>
    <xf numFmtId="3" fontId="10" fillId="3" borderId="1" xfId="0" applyNumberFormat="1" applyFont="1" applyFill="1" applyBorder="1" applyAlignment="1">
      <alignment vertical="center"/>
    </xf>
    <xf numFmtId="0" fontId="10" fillId="3" borderId="1" xfId="0" applyFont="1" applyFill="1" applyBorder="1" applyAlignment="1">
      <alignment vertical="center"/>
    </xf>
    <xf numFmtId="0" fontId="7" fillId="3" borderId="0" xfId="0" applyFont="1" applyFill="1" applyAlignment="1"/>
    <xf numFmtId="0" fontId="10" fillId="4" borderId="1" xfId="0" applyFont="1" applyFill="1" applyBorder="1" applyAlignment="1">
      <alignment horizontal="center" vertical="center"/>
    </xf>
    <xf numFmtId="49" fontId="10" fillId="4" borderId="1" xfId="0" applyNumberFormat="1" applyFont="1" applyFill="1" applyBorder="1" applyAlignment="1">
      <alignment horizontal="left" vertical="center"/>
    </xf>
    <xf numFmtId="0" fontId="10" fillId="4" borderId="1" xfId="0" applyFont="1" applyFill="1" applyBorder="1" applyAlignment="1">
      <alignment vertical="center"/>
    </xf>
    <xf numFmtId="0" fontId="10" fillId="4" borderId="1" xfId="0" applyFont="1" applyFill="1" applyBorder="1" applyAlignment="1">
      <alignment vertical="center" wrapText="1"/>
    </xf>
    <xf numFmtId="3" fontId="10" fillId="4" borderId="1" xfId="0" applyNumberFormat="1" applyFont="1" applyFill="1" applyBorder="1" applyAlignment="1">
      <alignment horizontal="right" vertical="center"/>
    </xf>
    <xf numFmtId="43" fontId="10" fillId="4" borderId="1" xfId="0" applyNumberFormat="1" applyFont="1" applyFill="1" applyBorder="1" applyAlignment="1">
      <alignment horizontal="right" vertical="center"/>
    </xf>
    <xf numFmtId="166" fontId="10" fillId="4" borderId="1" xfId="0" applyNumberFormat="1" applyFont="1" applyFill="1" applyBorder="1" applyAlignment="1">
      <alignment horizontal="right" vertical="center"/>
    </xf>
    <xf numFmtId="2" fontId="10" fillId="4" borderId="1" xfId="0" applyNumberFormat="1" applyFont="1" applyFill="1" applyBorder="1" applyAlignment="1">
      <alignment vertical="center"/>
    </xf>
    <xf numFmtId="0" fontId="7" fillId="4" borderId="0" xfId="0" applyFont="1" applyFill="1" applyAlignment="1"/>
    <xf numFmtId="0" fontId="0" fillId="0" borderId="0" xfId="0" applyFill="1" applyAlignment="1"/>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10" fontId="8" fillId="0" borderId="0" xfId="0" applyNumberFormat="1" applyFont="1" applyFill="1" applyAlignment="1"/>
    <xf numFmtId="0" fontId="8" fillId="0" borderId="0" xfId="0" applyFont="1" applyFill="1" applyAlignment="1"/>
    <xf numFmtId="0" fontId="0" fillId="0" borderId="0" xfId="0" applyFill="1" applyBorder="1" applyAlignment="1">
      <alignment vertical="center" wrapText="1"/>
    </xf>
    <xf numFmtId="0" fontId="1" fillId="0" borderId="0" xfId="0" applyFont="1" applyFill="1" applyAlignment="1">
      <alignment vertical="center" wrapText="1"/>
    </xf>
    <xf numFmtId="0" fontId="0" fillId="0" borderId="0" xfId="0" applyFill="1" applyBorder="1" applyAlignment="1">
      <alignment horizontal="left" vertical="center" wrapText="1"/>
    </xf>
    <xf numFmtId="0" fontId="1" fillId="0" borderId="0" xfId="0" applyFont="1" applyFill="1" applyBorder="1" applyAlignment="1">
      <alignment horizontal="center" vertical="center" wrapText="1"/>
    </xf>
    <xf numFmtId="10" fontId="1" fillId="0" borderId="0" xfId="0" applyNumberFormat="1" applyFont="1" applyFill="1" applyAlignment="1"/>
    <xf numFmtId="0" fontId="1" fillId="0" borderId="0" xfId="0" applyFont="1" applyFill="1" applyAlignment="1"/>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165" fontId="1" fillId="0" borderId="0" xfId="1" applyNumberFormat="1" applyFont="1" applyFill="1" applyAlignment="1"/>
    <xf numFmtId="0" fontId="0" fillId="0" borderId="0" xfId="0" applyFill="1" applyAlignment="1">
      <alignment horizontal="center" vertical="center"/>
    </xf>
    <xf numFmtId="0" fontId="0" fillId="0" borderId="0" xfId="0" applyFill="1" applyAlignment="1">
      <alignment horizontal="center"/>
    </xf>
    <xf numFmtId="41" fontId="4" fillId="0" borderId="0" xfId="0" applyNumberFormat="1" applyFont="1" applyFill="1" applyAlignment="1"/>
    <xf numFmtId="0" fontId="11" fillId="0" borderId="0" xfId="0" applyFont="1" applyFill="1" applyBorder="1" applyAlignment="1">
      <alignment horizontal="right"/>
    </xf>
    <xf numFmtId="0" fontId="11" fillId="0" borderId="0" xfId="0" applyFont="1" applyFill="1" applyBorder="1" applyAlignment="1">
      <alignment horizontal="center"/>
    </xf>
    <xf numFmtId="10" fontId="11" fillId="0" borderId="0" xfId="0" applyNumberFormat="1" applyFont="1" applyFill="1" applyBorder="1" applyAlignment="1"/>
    <xf numFmtId="0" fontId="11" fillId="0" borderId="0" xfId="0" applyFont="1" applyFill="1" applyAlignment="1"/>
    <xf numFmtId="2" fontId="11" fillId="0" borderId="0" xfId="0" applyNumberFormat="1" applyFont="1" applyFill="1" applyAlignment="1"/>
    <xf numFmtId="164" fontId="11" fillId="0" borderId="0" xfId="0" applyNumberFormat="1" applyFont="1" applyFill="1" applyBorder="1" applyAlignment="1">
      <alignment horizontal="center"/>
    </xf>
    <xf numFmtId="49" fontId="11" fillId="0" borderId="0" xfId="0" applyNumberFormat="1" applyFont="1" applyFill="1" applyBorder="1" applyAlignment="1"/>
    <xf numFmtId="3" fontId="11" fillId="0" borderId="0" xfId="0" applyNumberFormat="1" applyFont="1" applyFill="1" applyAlignment="1"/>
    <xf numFmtId="41" fontId="11" fillId="0" borderId="0" xfId="0" applyNumberFormat="1" applyFont="1" applyFill="1" applyAlignment="1">
      <alignment vertical="center" wrapText="1"/>
    </xf>
    <xf numFmtId="167" fontId="11" fillId="0" borderId="0" xfId="3" applyNumberFormat="1" applyFont="1" applyFill="1" applyBorder="1" applyAlignment="1"/>
    <xf numFmtId="0" fontId="11" fillId="0" borderId="0" xfId="0" applyFont="1" applyFill="1" applyAlignment="1">
      <alignment vertical="center" wrapText="1"/>
    </xf>
    <xf numFmtId="164" fontId="4" fillId="0" borderId="0" xfId="0" applyNumberFormat="1" applyFont="1" applyFill="1" applyBorder="1" applyAlignment="1">
      <alignment horizontal="center"/>
    </xf>
    <xf numFmtId="0" fontId="4" fillId="0" borderId="0" xfId="0" applyFont="1" applyFill="1" applyBorder="1" applyAlignment="1">
      <alignment horizontal="center"/>
    </xf>
    <xf numFmtId="49" fontId="4" fillId="0" borderId="0" xfId="0" applyNumberFormat="1" applyFont="1" applyFill="1" applyBorder="1" applyAlignment="1"/>
    <xf numFmtId="10" fontId="4" fillId="0" borderId="0" xfId="0" applyNumberFormat="1" applyFont="1" applyFill="1" applyBorder="1" applyAlignment="1"/>
    <xf numFmtId="3" fontId="4" fillId="0" borderId="0" xfId="0" applyNumberFormat="1" applyFont="1" applyFill="1" applyBorder="1" applyAlignment="1"/>
    <xf numFmtId="0" fontId="3" fillId="0" borderId="0" xfId="0" applyFont="1" applyFill="1" applyBorder="1" applyAlignment="1"/>
    <xf numFmtId="164" fontId="3" fillId="0" borderId="0" xfId="0" applyNumberFormat="1" applyFont="1" applyFill="1" applyBorder="1" applyAlignment="1">
      <alignment horizontal="center"/>
    </xf>
    <xf numFmtId="0" fontId="5" fillId="0" borderId="0" xfId="0" applyFont="1" applyFill="1" applyBorder="1" applyAlignment="1">
      <alignment horizontal="center"/>
    </xf>
    <xf numFmtId="49" fontId="3" fillId="0" borderId="0" xfId="0" applyNumberFormat="1" applyFont="1" applyFill="1" applyBorder="1" applyAlignment="1"/>
    <xf numFmtId="0" fontId="13" fillId="0" borderId="0" xfId="0" applyFont="1" applyFill="1" applyBorder="1" applyAlignment="1"/>
    <xf numFmtId="10" fontId="8" fillId="0" borderId="0" xfId="0" applyNumberFormat="1" applyFont="1" applyFill="1" applyBorder="1" applyAlignment="1"/>
    <xf numFmtId="0" fontId="3" fillId="0" borderId="0" xfId="0" applyFont="1" applyFill="1" applyAlignment="1"/>
    <xf numFmtId="0" fontId="3" fillId="0" borderId="0" xfId="0" applyFont="1" applyFill="1" applyAlignment="1">
      <alignment horizontal="center"/>
    </xf>
    <xf numFmtId="49" fontId="3" fillId="0" borderId="0" xfId="0" applyNumberFormat="1" applyFont="1" applyFill="1" applyAlignment="1"/>
    <xf numFmtId="0" fontId="13" fillId="0" borderId="0" xfId="0" applyFont="1" applyFill="1" applyAlignment="1"/>
    <xf numFmtId="0" fontId="10" fillId="4" borderId="1" xfId="0" applyFont="1" applyFill="1" applyBorder="1" applyAlignment="1">
      <alignment horizontal="center"/>
    </xf>
    <xf numFmtId="0" fontId="10" fillId="4" borderId="1" xfId="0" applyFont="1" applyFill="1" applyBorder="1" applyAlignment="1">
      <alignment horizontal="center"/>
    </xf>
    <xf numFmtId="0" fontId="0" fillId="0" borderId="0" xfId="0" applyFill="1" applyBorder="1" applyAlignment="1">
      <alignment horizontal="left" vertical="center" wrapText="1"/>
    </xf>
    <xf numFmtId="0" fontId="9" fillId="2" borderId="0" xfId="0" applyFont="1" applyFill="1" applyAlignment="1"/>
    <xf numFmtId="41" fontId="9" fillId="2" borderId="0" xfId="0" applyNumberFormat="1" applyFont="1" applyFill="1" applyAlignment="1"/>
    <xf numFmtId="166" fontId="11" fillId="2" borderId="1" xfId="0" applyNumberFormat="1" applyFont="1" applyFill="1" applyBorder="1" applyAlignment="1">
      <alignment horizontal="right" vertical="center"/>
    </xf>
    <xf numFmtId="166" fontId="11" fillId="3" borderId="1" xfId="0" applyNumberFormat="1" applyFont="1" applyFill="1" applyBorder="1" applyAlignment="1">
      <alignment horizontal="right" vertical="center"/>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NumberFormat="1" applyFont="1" applyFill="1" applyBorder="1" applyAlignment="1">
      <alignment horizontal="center" vertical="center"/>
    </xf>
    <xf numFmtId="0" fontId="11" fillId="4" borderId="1" xfId="0" applyFont="1" applyFill="1" applyBorder="1" applyAlignment="1">
      <alignment horizontal="center"/>
    </xf>
    <xf numFmtId="10" fontId="10" fillId="4" borderId="1" xfId="2" applyNumberFormat="1" applyFont="1" applyFill="1" applyBorder="1" applyAlignment="1">
      <alignment horizontal="right" vertical="center"/>
    </xf>
    <xf numFmtId="166" fontId="11" fillId="4" borderId="1" xfId="0" applyNumberFormat="1" applyFont="1" applyFill="1" applyBorder="1" applyAlignment="1">
      <alignment horizontal="right" vertical="center"/>
    </xf>
    <xf numFmtId="41" fontId="10" fillId="4" borderId="1" xfId="1" applyFont="1" applyFill="1" applyBorder="1" applyAlignment="1">
      <alignment horizontal="right" vertical="center"/>
    </xf>
    <xf numFmtId="3" fontId="11" fillId="0" borderId="0" xfId="0" applyNumberFormat="1" applyFont="1" applyFill="1" applyBorder="1" applyAlignment="1"/>
    <xf numFmtId="0" fontId="10" fillId="0" borderId="0" xfId="0" applyFont="1" applyFill="1" applyBorder="1" applyAlignment="1">
      <alignment horizontal="center" vertical="center"/>
    </xf>
    <xf numFmtId="49" fontId="10" fillId="0" borderId="0" xfId="0" applyNumberFormat="1" applyFont="1" applyFill="1" applyBorder="1" applyAlignment="1">
      <alignment horizontal="left" vertical="center"/>
    </xf>
    <xf numFmtId="0" fontId="10" fillId="0" borderId="0" xfId="0" applyFont="1" applyFill="1" applyBorder="1" applyAlignment="1">
      <alignment vertical="center"/>
    </xf>
    <xf numFmtId="3" fontId="10" fillId="0" borderId="0" xfId="0" applyNumberFormat="1" applyFont="1" applyFill="1" applyBorder="1" applyAlignment="1">
      <alignment horizontal="right" vertical="center"/>
    </xf>
    <xf numFmtId="10" fontId="10" fillId="0" borderId="0" xfId="2" applyNumberFormat="1" applyFont="1" applyFill="1" applyBorder="1" applyAlignment="1">
      <alignment horizontal="right" vertical="center"/>
    </xf>
    <xf numFmtId="43" fontId="10" fillId="0" borderId="0" xfId="0" applyNumberFormat="1" applyFont="1" applyFill="1" applyBorder="1" applyAlignment="1">
      <alignment horizontal="right" vertical="center"/>
    </xf>
    <xf numFmtId="166" fontId="10" fillId="0" borderId="0" xfId="0" applyNumberFormat="1" applyFont="1" applyFill="1" applyBorder="1" applyAlignment="1">
      <alignment horizontal="right" vertical="center"/>
    </xf>
    <xf numFmtId="2" fontId="10" fillId="0" borderId="0" xfId="0" applyNumberFormat="1" applyFont="1" applyFill="1" applyBorder="1" applyAlignment="1">
      <alignment vertical="center"/>
    </xf>
    <xf numFmtId="41" fontId="10" fillId="0" borderId="0" xfId="1" applyFont="1" applyFill="1" applyBorder="1" applyAlignment="1">
      <alignment horizontal="right" vertical="center"/>
    </xf>
    <xf numFmtId="0" fontId="11" fillId="0" borderId="0" xfId="0" applyFont="1" applyFill="1" applyBorder="1" applyAlignment="1">
      <alignment vertical="center" wrapText="1"/>
    </xf>
    <xf numFmtId="3" fontId="11" fillId="0" borderId="0" xfId="0" applyNumberFormat="1" applyFont="1" applyFill="1" applyBorder="1" applyAlignment="1">
      <alignment horizontal="right" vertical="center"/>
    </xf>
    <xf numFmtId="0" fontId="7" fillId="0" borderId="0" xfId="0" applyFont="1" applyFill="1" applyBorder="1" applyAlignment="1"/>
    <xf numFmtId="0" fontId="11" fillId="5" borderId="1" xfId="0" applyFont="1" applyFill="1" applyBorder="1" applyAlignment="1">
      <alignment horizontal="center" vertical="center"/>
    </xf>
    <xf numFmtId="49" fontId="11" fillId="5" borderId="1" xfId="0" applyNumberFormat="1" applyFont="1" applyFill="1" applyBorder="1" applyAlignment="1">
      <alignment horizontal="center" vertical="center"/>
    </xf>
    <xf numFmtId="10" fontId="11" fillId="5" borderId="1" xfId="2" applyNumberFormat="1" applyFont="1" applyFill="1" applyBorder="1" applyAlignment="1">
      <alignment horizontal="right" vertical="center"/>
    </xf>
    <xf numFmtId="41" fontId="11" fillId="5" borderId="1" xfId="0" applyNumberFormat="1" applyFont="1" applyFill="1" applyBorder="1" applyAlignment="1">
      <alignment horizontal="right" vertical="center"/>
    </xf>
    <xf numFmtId="43" fontId="10" fillId="5" borderId="1" xfId="0" applyNumberFormat="1" applyFont="1" applyFill="1" applyBorder="1" applyAlignment="1">
      <alignment horizontal="right" vertical="center"/>
    </xf>
    <xf numFmtId="166" fontId="11" fillId="5" borderId="1" xfId="0" applyNumberFormat="1" applyFont="1" applyFill="1" applyBorder="1" applyAlignment="1">
      <alignment horizontal="right" vertical="center"/>
    </xf>
    <xf numFmtId="41" fontId="11" fillId="5" borderId="1" xfId="1" applyFont="1" applyFill="1" applyBorder="1" applyAlignment="1">
      <alignment horizontal="right" vertical="center"/>
    </xf>
    <xf numFmtId="0" fontId="11" fillId="5" borderId="1" xfId="0" applyFont="1" applyFill="1" applyBorder="1" applyAlignment="1">
      <alignment vertical="center"/>
    </xf>
    <xf numFmtId="41" fontId="10" fillId="5" borderId="1" xfId="1" applyFont="1" applyFill="1" applyBorder="1" applyAlignment="1">
      <alignment horizontal="right" vertical="center"/>
    </xf>
    <xf numFmtId="166" fontId="10" fillId="5" borderId="1" xfId="0" applyNumberFormat="1" applyFont="1" applyFill="1" applyBorder="1" applyAlignment="1">
      <alignment horizontal="righ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3" fontId="16" fillId="5" borderId="1" xfId="0" applyNumberFormat="1" applyFont="1" applyFill="1" applyBorder="1" applyAlignment="1">
      <alignment horizontal="right" vertical="center"/>
    </xf>
    <xf numFmtId="2" fontId="11" fillId="5" borderId="1" xfId="0" applyNumberFormat="1" applyFont="1" applyFill="1" applyBorder="1" applyAlignment="1">
      <alignment vertical="center"/>
    </xf>
    <xf numFmtId="3" fontId="16" fillId="5" borderId="1" xfId="0" applyNumberFormat="1" applyFont="1" applyFill="1" applyBorder="1" applyAlignment="1">
      <alignment vertical="center" wrapText="1"/>
    </xf>
    <xf numFmtId="41" fontId="10" fillId="5" borderId="1" xfId="0" applyNumberFormat="1" applyFont="1" applyFill="1" applyBorder="1" applyAlignment="1">
      <alignment horizontal="right" vertical="center"/>
    </xf>
    <xf numFmtId="0" fontId="4" fillId="5" borderId="0" xfId="0" applyFont="1" applyFill="1" applyAlignment="1"/>
    <xf numFmtId="0" fontId="11" fillId="5" borderId="6" xfId="0" applyFont="1" applyFill="1" applyBorder="1" applyAlignment="1">
      <alignment horizontal="center" wrapText="1"/>
    </xf>
    <xf numFmtId="0" fontId="11" fillId="5" borderId="7" xfId="0" applyFont="1" applyFill="1" applyBorder="1" applyAlignment="1">
      <alignment horizontal="center" wrapText="1"/>
    </xf>
    <xf numFmtId="0" fontId="11" fillId="5" borderId="8" xfId="0" applyFont="1" applyFill="1" applyBorder="1" applyAlignment="1">
      <alignment horizontal="center" wrapText="1"/>
    </xf>
    <xf numFmtId="0" fontId="11" fillId="5" borderId="1" xfId="0" applyNumberFormat="1" applyFont="1" applyFill="1" applyBorder="1" applyAlignment="1">
      <alignment horizontal="center" vertical="center"/>
    </xf>
    <xf numFmtId="0" fontId="11" fillId="5" borderId="1" xfId="0" applyFont="1" applyFill="1" applyBorder="1" applyAlignment="1">
      <alignment horizontal="center"/>
    </xf>
    <xf numFmtId="0" fontId="0" fillId="5" borderId="0" xfId="0" applyFill="1" applyAlignment="1">
      <alignment horizontal="center"/>
    </xf>
    <xf numFmtId="41" fontId="16" fillId="5" borderId="1" xfId="0" applyNumberFormat="1" applyFont="1" applyFill="1" applyBorder="1" applyAlignment="1">
      <alignment horizontal="center" vertical="center"/>
    </xf>
    <xf numFmtId="167" fontId="11" fillId="0" borderId="0" xfId="3" applyNumberFormat="1" applyFont="1" applyFill="1" applyBorder="1" applyAlignment="1">
      <alignment vertical="center"/>
    </xf>
    <xf numFmtId="3" fontId="11" fillId="0" borderId="0" xfId="0" applyNumberFormat="1" applyFont="1" applyFill="1" applyBorder="1" applyAlignment="1">
      <alignment vertical="center"/>
    </xf>
    <xf numFmtId="3" fontId="4" fillId="0" borderId="0" xfId="0" applyNumberFormat="1" applyFont="1" applyFill="1" applyBorder="1" applyAlignment="1">
      <alignment vertical="center"/>
    </xf>
    <xf numFmtId="3" fontId="4" fillId="0" borderId="0" xfId="0" applyNumberFormat="1" applyFont="1" applyFill="1" applyBorder="1" applyAlignment="1">
      <alignment horizontal="right" vertical="center"/>
    </xf>
    <xf numFmtId="3" fontId="7" fillId="0" borderId="0" xfId="0" applyNumberFormat="1" applyFont="1" applyFill="1" applyBorder="1" applyAlignment="1">
      <alignment vertical="center"/>
    </xf>
    <xf numFmtId="0" fontId="13" fillId="0" borderId="0" xfId="0" applyFont="1" applyFill="1" applyBorder="1" applyAlignment="1">
      <alignment vertic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right"/>
    </xf>
    <xf numFmtId="0" fontId="10" fillId="0" borderId="0" xfId="0" applyFont="1" applyFill="1" applyBorder="1" applyAlignment="1"/>
    <xf numFmtId="0" fontId="8" fillId="0" borderId="0" xfId="0" applyFont="1" applyFill="1" applyBorder="1" applyAlignment="1"/>
    <xf numFmtId="3" fontId="10" fillId="0" borderId="1" xfId="0" applyNumberFormat="1" applyFont="1" applyFill="1" applyBorder="1" applyAlignment="1">
      <alignment vertical="center" wrapText="1"/>
    </xf>
    <xf numFmtId="2" fontId="10" fillId="0" borderId="1" xfId="0" applyNumberFormat="1" applyFont="1" applyFill="1" applyBorder="1" applyAlignment="1">
      <alignment vertical="center"/>
    </xf>
    <xf numFmtId="44" fontId="17" fillId="0" borderId="1" xfId="4" applyFont="1" applyFill="1" applyBorder="1" applyAlignment="1">
      <alignment horizontal="left" vertical="center" wrapText="1"/>
    </xf>
    <xf numFmtId="44" fontId="18" fillId="2" borderId="1" xfId="4" applyFont="1" applyFill="1" applyBorder="1" applyAlignment="1">
      <alignment horizontal="left" vertical="center" wrapText="1"/>
    </xf>
    <xf numFmtId="44" fontId="17" fillId="0" borderId="9" xfId="4" applyFont="1" applyFill="1" applyBorder="1" applyAlignment="1">
      <alignment horizontal="left" vertical="center" wrapText="1"/>
    </xf>
    <xf numFmtId="3" fontId="11" fillId="2" borderId="0" xfId="0" applyNumberFormat="1" applyFont="1" applyFill="1" applyBorder="1" applyAlignment="1">
      <alignment horizontal="center" vertical="center"/>
    </xf>
    <xf numFmtId="167" fontId="4" fillId="2" borderId="0" xfId="3" applyNumberFormat="1" applyFont="1" applyFill="1" applyAlignment="1"/>
    <xf numFmtId="43" fontId="11" fillId="2" borderId="0" xfId="0" applyNumberFormat="1" applyFont="1" applyFill="1" applyBorder="1" applyAlignment="1">
      <alignment horizontal="right" vertical="center"/>
    </xf>
    <xf numFmtId="0" fontId="11" fillId="2" borderId="0" xfId="0" applyFont="1" applyFill="1" applyAlignment="1">
      <alignment horizontal="center"/>
    </xf>
    <xf numFmtId="0" fontId="4" fillId="2" borderId="0" xfId="0" applyFont="1" applyFill="1" applyAlignment="1"/>
    <xf numFmtId="0" fontId="11" fillId="2" borderId="0" xfId="0" applyFont="1" applyFill="1" applyAlignment="1"/>
    <xf numFmtId="3" fontId="11" fillId="2" borderId="0" xfId="0" applyNumberFormat="1" applyFont="1" applyFill="1" applyAlignment="1">
      <alignment horizontal="center"/>
    </xf>
    <xf numFmtId="10" fontId="11" fillId="2" borderId="0" xfId="0" applyNumberFormat="1" applyFont="1" applyFill="1" applyBorder="1" applyAlignment="1">
      <alignment horizontal="center"/>
    </xf>
    <xf numFmtId="0" fontId="0" fillId="0" borderId="0" xfId="0" applyFill="1" applyBorder="1" applyAlignment="1">
      <alignment horizontal="left" vertical="center" wrapText="1"/>
    </xf>
    <xf numFmtId="0" fontId="11" fillId="0" borderId="0" xfId="0" applyFont="1" applyFill="1" applyAlignment="1">
      <alignment vertical="center"/>
    </xf>
    <xf numFmtId="0" fontId="11" fillId="0" borderId="0" xfId="0" applyFont="1" applyFill="1" applyBorder="1" applyAlignment="1">
      <alignment vertical="center"/>
    </xf>
    <xf numFmtId="0" fontId="4" fillId="0" borderId="0" xfId="0" applyFont="1" applyFill="1" applyBorder="1" applyAlignment="1">
      <alignment vertical="center"/>
    </xf>
    <xf numFmtId="0" fontId="7" fillId="0" borderId="0" xfId="0" applyFont="1" applyFill="1" applyBorder="1" applyAlignment="1">
      <alignment vertical="center"/>
    </xf>
    <xf numFmtId="0" fontId="10" fillId="4" borderId="1" xfId="0" applyFont="1" applyFill="1" applyBorder="1" applyAlignment="1">
      <alignment horizontal="center"/>
    </xf>
    <xf numFmtId="0" fontId="0" fillId="0" borderId="0" xfId="0" applyFill="1" applyBorder="1" applyAlignment="1">
      <alignment horizontal="left" vertical="center" wrapText="1"/>
    </xf>
    <xf numFmtId="0" fontId="0" fillId="0" borderId="0" xfId="0"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xf>
    <xf numFmtId="3" fontId="11" fillId="0" borderId="0" xfId="0" applyNumberFormat="1" applyFont="1" applyFill="1" applyBorder="1" applyAlignment="1">
      <alignment horizontal="center" vertical="center"/>
    </xf>
    <xf numFmtId="167" fontId="4" fillId="0" borderId="0" xfId="3" applyNumberFormat="1" applyFont="1" applyFill="1" applyAlignment="1"/>
    <xf numFmtId="43" fontId="11" fillId="0" borderId="0" xfId="0" applyNumberFormat="1" applyFont="1" applyFill="1" applyBorder="1" applyAlignment="1">
      <alignment horizontal="right" vertical="center"/>
    </xf>
    <xf numFmtId="43" fontId="11" fillId="0" borderId="1" xfId="0" applyNumberFormat="1" applyFont="1" applyFill="1" applyBorder="1" applyAlignment="1">
      <alignment horizontal="right" vertical="center"/>
    </xf>
    <xf numFmtId="44" fontId="17" fillId="0" borderId="11" xfId="4" applyFont="1" applyFill="1" applyBorder="1" applyAlignment="1">
      <alignment horizontal="left" vertical="center" wrapText="1"/>
    </xf>
    <xf numFmtId="41" fontId="10" fillId="0" borderId="1" xfId="0" applyNumberFormat="1" applyFont="1" applyFill="1" applyBorder="1" applyAlignment="1">
      <alignment horizontal="right" vertical="center"/>
    </xf>
    <xf numFmtId="44" fontId="18" fillId="3" borderId="1" xfId="4" applyFont="1" applyFill="1" applyBorder="1" applyAlignment="1">
      <alignment horizontal="left" vertical="center" wrapText="1"/>
    </xf>
    <xf numFmtId="0" fontId="10" fillId="4" borderId="1" xfId="0" applyNumberFormat="1" applyFont="1" applyFill="1" applyBorder="1" applyAlignment="1">
      <alignment horizontal="center" vertical="center"/>
    </xf>
    <xf numFmtId="41" fontId="10" fillId="4" borderId="1" xfId="0" applyNumberFormat="1" applyFont="1" applyFill="1" applyBorder="1" applyAlignment="1">
      <alignment horizontal="right" vertical="center"/>
    </xf>
    <xf numFmtId="0" fontId="0" fillId="0" borderId="0" xfId="0"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xf>
    <xf numFmtId="0" fontId="0" fillId="0" borderId="0" xfId="0" applyFill="1" applyBorder="1" applyAlignment="1">
      <alignment horizontal="left" vertical="center" wrapText="1"/>
    </xf>
    <xf numFmtId="0" fontId="10" fillId="4" borderId="1" xfId="0" applyFont="1" applyFill="1" applyBorder="1" applyAlignment="1">
      <alignment horizontal="center"/>
    </xf>
    <xf numFmtId="0" fontId="10" fillId="4" borderId="1" xfId="0" applyFont="1" applyFill="1" applyBorder="1" applyAlignment="1">
      <alignment horizontal="center" vertical="center" wrapText="1"/>
    </xf>
    <xf numFmtId="0" fontId="0" fillId="0" borderId="0" xfId="0" applyFill="1" applyBorder="1" applyAlignment="1">
      <alignment horizontal="left" vertical="center" wrapText="1"/>
    </xf>
    <xf numFmtId="0" fontId="10" fillId="0" borderId="0" xfId="0" applyFont="1" applyFill="1" applyAlignment="1"/>
    <xf numFmtId="0" fontId="0" fillId="0" borderId="0" xfId="0"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xf>
    <xf numFmtId="167" fontId="4" fillId="2" borderId="0" xfId="3" applyNumberFormat="1" applyFont="1" applyFill="1" applyAlignment="1">
      <alignment vertical="center"/>
    </xf>
    <xf numFmtId="0" fontId="11" fillId="2" borderId="0" xfId="0" applyFont="1" applyFill="1" applyAlignment="1">
      <alignment horizontal="center" vertical="center"/>
    </xf>
    <xf numFmtId="3" fontId="11" fillId="2" borderId="0" xfId="0" applyNumberFormat="1" applyFont="1" applyFill="1" applyAlignment="1">
      <alignment horizontal="center" vertical="center"/>
    </xf>
    <xf numFmtId="0" fontId="0" fillId="0" borderId="0" xfId="0"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xf>
    <xf numFmtId="0" fontId="0" fillId="0" borderId="0" xfId="0" applyFill="1" applyBorder="1" applyAlignment="1">
      <alignment horizontal="left" vertical="center" wrapText="1"/>
    </xf>
    <xf numFmtId="0" fontId="19" fillId="0" borderId="1" xfId="0" applyFont="1" applyFill="1" applyBorder="1" applyAlignment="1">
      <alignment horizontal="center" vertical="center"/>
    </xf>
    <xf numFmtId="49" fontId="19"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3" fontId="19" fillId="0" borderId="1" xfId="0" applyNumberFormat="1" applyFont="1" applyFill="1" applyBorder="1" applyAlignment="1">
      <alignment vertical="center" wrapText="1"/>
    </xf>
    <xf numFmtId="44" fontId="20" fillId="0" borderId="1" xfId="4" applyFont="1" applyFill="1" applyBorder="1" applyAlignment="1">
      <alignment horizontal="left" vertical="center" wrapText="1"/>
    </xf>
    <xf numFmtId="3" fontId="19" fillId="0" borderId="1" xfId="0" applyNumberFormat="1" applyFont="1" applyFill="1" applyBorder="1" applyAlignment="1">
      <alignment horizontal="right" vertical="center"/>
    </xf>
    <xf numFmtId="0" fontId="17" fillId="0" borderId="0" xfId="0" applyFont="1" applyFill="1" applyBorder="1" applyAlignment="1"/>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8" fillId="0" borderId="0" xfId="0" applyFont="1" applyFill="1" applyBorder="1" applyAlignment="1">
      <alignment vertical="center"/>
    </xf>
    <xf numFmtId="3" fontId="18" fillId="0" borderId="0" xfId="0" applyNumberFormat="1" applyFont="1" applyFill="1" applyBorder="1" applyAlignment="1">
      <alignment vertical="center"/>
    </xf>
    <xf numFmtId="167" fontId="4" fillId="0" borderId="0" xfId="0" applyNumberFormat="1" applyFont="1" applyFill="1" applyBorder="1" applyAlignment="1"/>
    <xf numFmtId="167" fontId="11" fillId="2" borderId="0" xfId="0" applyNumberFormat="1" applyFont="1" applyFill="1" applyAlignment="1">
      <alignment vertical="center"/>
    </xf>
    <xf numFmtId="0" fontId="10" fillId="4" borderId="1" xfId="0" applyFont="1" applyFill="1" applyBorder="1" applyAlignment="1">
      <alignment horizontal="center"/>
    </xf>
    <xf numFmtId="0" fontId="10" fillId="4" borderId="1" xfId="0" applyFont="1" applyFill="1" applyBorder="1" applyAlignment="1">
      <alignment horizontal="center" vertical="center" wrapText="1"/>
    </xf>
    <xf numFmtId="0" fontId="0" fillId="0" borderId="0" xfId="0" applyFill="1" applyBorder="1" applyAlignment="1">
      <alignment horizontal="left" vertical="center" wrapText="1"/>
    </xf>
    <xf numFmtId="41" fontId="21" fillId="5" borderId="1" xfId="1" applyFont="1" applyFill="1" applyBorder="1" applyAlignment="1">
      <alignment horizontal="right" vertical="center"/>
    </xf>
    <xf numFmtId="43" fontId="21" fillId="5" borderId="1" xfId="0" applyNumberFormat="1" applyFont="1" applyFill="1" applyBorder="1" applyAlignment="1">
      <alignment horizontal="right" vertical="center"/>
    </xf>
    <xf numFmtId="10" fontId="22" fillId="2" borderId="0" xfId="0" applyNumberFormat="1" applyFont="1" applyFill="1" applyBorder="1" applyAlignment="1">
      <alignment horizontal="center" vertical="center"/>
    </xf>
    <xf numFmtId="167" fontId="22" fillId="2" borderId="0" xfId="0" applyNumberFormat="1" applyFont="1" applyFill="1" applyAlignment="1">
      <alignment vertical="center"/>
    </xf>
    <xf numFmtId="0" fontId="22" fillId="2" borderId="0" xfId="0" applyFont="1" applyFill="1" applyAlignment="1">
      <alignment horizontal="center" vertical="center"/>
    </xf>
    <xf numFmtId="3" fontId="22" fillId="2" borderId="0" xfId="0" applyNumberFormat="1" applyFont="1" applyFill="1" applyAlignment="1">
      <alignment horizontal="center" vertical="center"/>
    </xf>
    <xf numFmtId="0" fontId="0" fillId="0" borderId="0" xfId="0"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xf>
    <xf numFmtId="10" fontId="4" fillId="2" borderId="0" xfId="0" applyNumberFormat="1" applyFont="1" applyFill="1" applyBorder="1" applyAlignment="1">
      <alignment horizontal="center" vertical="center"/>
    </xf>
    <xf numFmtId="167" fontId="4" fillId="2" borderId="0" xfId="3" applyNumberFormat="1" applyFont="1" applyFill="1" applyBorder="1" applyAlignment="1">
      <alignment vertical="center"/>
    </xf>
    <xf numFmtId="0" fontId="4" fillId="0" borderId="0" xfId="0" applyFont="1" applyFill="1" applyAlignment="1">
      <alignment horizontal="center" vertical="center" wrapText="1"/>
    </xf>
    <xf numFmtId="0" fontId="10" fillId="4" borderId="1" xfId="0" applyFont="1" applyFill="1" applyBorder="1" applyAlignment="1">
      <alignment horizontal="center"/>
    </xf>
    <xf numFmtId="0" fontId="11" fillId="0" borderId="0" xfId="0" applyFont="1" applyFill="1" applyAlignment="1">
      <alignment horizontal="center"/>
    </xf>
    <xf numFmtId="0" fontId="7" fillId="0" borderId="10" xfId="0" applyFont="1" applyFill="1" applyBorder="1" applyAlignment="1">
      <alignment horizontal="center"/>
    </xf>
    <xf numFmtId="0" fontId="4" fillId="0" borderId="0" xfId="0" applyFont="1" applyFill="1" applyAlignment="1">
      <alignment horizontal="center"/>
    </xf>
    <xf numFmtId="0" fontId="11" fillId="4" borderId="6" xfId="0" applyFont="1" applyFill="1" applyBorder="1" applyAlignment="1">
      <alignment horizontal="center" wrapText="1"/>
    </xf>
    <xf numFmtId="0" fontId="11" fillId="4" borderId="7" xfId="0" applyFont="1" applyFill="1" applyBorder="1" applyAlignment="1">
      <alignment horizontal="center" wrapText="1"/>
    </xf>
    <xf numFmtId="0" fontId="11" fillId="4" borderId="8" xfId="0" applyFont="1" applyFill="1" applyBorder="1" applyAlignment="1">
      <alignment horizontal="center" wrapText="1"/>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10" fillId="4" borderId="1" xfId="0" applyFont="1" applyFill="1" applyBorder="1" applyAlignment="1">
      <alignment horizontal="center" vertical="center" wrapText="1"/>
    </xf>
    <xf numFmtId="0" fontId="12" fillId="4" borderId="3" xfId="0" applyFont="1" applyFill="1" applyBorder="1" applyAlignment="1">
      <alignment horizontal="center" vertical="center" textRotation="180" wrapText="1"/>
    </xf>
    <xf numFmtId="0" fontId="12" fillId="4" borderId="5" xfId="0" applyFont="1" applyFill="1" applyBorder="1" applyAlignment="1">
      <alignment horizontal="center" vertical="center" textRotation="180" wrapText="1"/>
    </xf>
    <xf numFmtId="0" fontId="12" fillId="4" borderId="4" xfId="0" applyFont="1" applyFill="1" applyBorder="1" applyAlignment="1">
      <alignment horizontal="center" vertical="center" textRotation="180" wrapText="1"/>
    </xf>
    <xf numFmtId="10" fontId="10" fillId="4" borderId="1" xfId="0" applyNumberFormat="1" applyFont="1" applyFill="1" applyBorder="1" applyAlignment="1">
      <alignment horizontal="center" vertical="center" textRotation="90"/>
    </xf>
    <xf numFmtId="0" fontId="0" fillId="0" borderId="0" xfId="0" applyFont="1" applyFill="1" applyBorder="1" applyAlignment="1">
      <alignment horizontal="left"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6" fillId="0" borderId="2" xfId="0" applyFont="1" applyFill="1" applyBorder="1" applyAlignment="1">
      <alignment horizontal="center" wrapText="1"/>
    </xf>
    <xf numFmtId="0" fontId="6" fillId="0" borderId="0" xfId="0" applyFont="1" applyFill="1" applyAlignment="1">
      <alignment horizontal="center" wrapText="1"/>
    </xf>
    <xf numFmtId="0" fontId="6" fillId="0" borderId="0" xfId="0" applyFont="1" applyFill="1" applyBorder="1" applyAlignment="1">
      <alignment horizontal="center" wrapTex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10" fillId="4" borderId="6" xfId="0" applyFont="1" applyFill="1" applyBorder="1" applyAlignment="1">
      <alignment horizontal="center" wrapText="1"/>
    </xf>
    <xf numFmtId="0" fontId="10" fillId="4" borderId="7" xfId="0" applyFont="1" applyFill="1" applyBorder="1" applyAlignment="1">
      <alignment horizontal="center" wrapText="1"/>
    </xf>
    <xf numFmtId="0" fontId="10" fillId="4" borderId="8" xfId="0" applyFont="1" applyFill="1" applyBorder="1" applyAlignment="1">
      <alignment horizontal="center" wrapText="1"/>
    </xf>
  </cellXfs>
  <cellStyles count="5">
    <cellStyle name="Comma" xfId="3" builtinId="3"/>
    <cellStyle name="Comma [0]" xfId="1" builtinId="6"/>
    <cellStyle name="Currency" xfId="4"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R131"/>
  <sheetViews>
    <sheetView showGridLines="0" view="pageBreakPreview" topLeftCell="A115" zoomScaleNormal="100" zoomScaleSheetLayoutView="100" workbookViewId="0">
      <selection activeCell="G47" sqref="G47"/>
    </sheetView>
  </sheetViews>
  <sheetFormatPr defaultColWidth="9.140625" defaultRowHeight="15"/>
  <cols>
    <col min="1" max="1" width="2.85546875" style="99" customWidth="1"/>
    <col min="2" max="3" width="2.85546875" style="100" customWidth="1"/>
    <col min="4" max="4" width="4.42578125" style="101" customWidth="1"/>
    <col min="5" max="5" width="3.7109375" style="99" customWidth="1"/>
    <col min="6" max="6" width="68.140625" style="99" customWidth="1"/>
    <col min="7" max="7" width="17.28515625" style="102" customWidth="1"/>
    <col min="8" max="8" width="8.28515625" style="63" customWidth="1"/>
    <col min="9" max="9" width="14" style="64" customWidth="1"/>
    <col min="10" max="10" width="7.7109375" style="64" customWidth="1"/>
    <col min="11" max="11" width="15" style="64" customWidth="1"/>
    <col min="12" max="12" width="8.140625" style="64" customWidth="1"/>
    <col min="13" max="13" width="14.28515625" style="64" customWidth="1"/>
    <col min="14" max="14" width="7.42578125" style="64" customWidth="1"/>
    <col min="15" max="15" width="7.85546875" style="64" customWidth="1"/>
    <col min="16" max="16" width="15.8554687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86</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60"/>
      <c r="B4" s="60"/>
      <c r="C4" s="60"/>
      <c r="D4" s="61"/>
      <c r="E4" s="60"/>
      <c r="F4" s="60"/>
      <c r="G4" s="62"/>
    </row>
    <row r="5" spans="1:17" ht="15" customHeight="1">
      <c r="A5" s="267" t="s">
        <v>113</v>
      </c>
      <c r="B5" s="257"/>
      <c r="C5" s="257"/>
      <c r="D5" s="257"/>
      <c r="E5" s="257"/>
      <c r="F5" s="65" t="s">
        <v>44</v>
      </c>
      <c r="G5" s="66"/>
      <c r="H5" s="66"/>
      <c r="I5" s="66"/>
      <c r="J5" s="66"/>
      <c r="K5" s="66"/>
      <c r="L5" s="66"/>
      <c r="M5" s="66"/>
      <c r="N5" s="66"/>
      <c r="O5" s="66"/>
      <c r="P5" s="66"/>
    </row>
    <row r="6" spans="1:17" ht="20.25" customHeight="1">
      <c r="A6" s="268" t="s">
        <v>112</v>
      </c>
      <c r="B6" s="269"/>
      <c r="C6" s="269"/>
      <c r="D6" s="269"/>
      <c r="E6" s="269"/>
      <c r="F6" s="267" t="s">
        <v>46</v>
      </c>
      <c r="G6" s="267"/>
      <c r="H6" s="267"/>
      <c r="I6" s="267"/>
      <c r="J6" s="267"/>
      <c r="K6" s="267"/>
      <c r="L6" s="267"/>
      <c r="M6" s="267"/>
      <c r="N6" s="267"/>
      <c r="O6" s="267"/>
      <c r="P6" s="267"/>
    </row>
    <row r="7" spans="1:17" ht="17.25" customHeight="1">
      <c r="A7" s="257" t="s">
        <v>41</v>
      </c>
      <c r="B7" s="257"/>
      <c r="C7" s="257"/>
      <c r="D7" s="257"/>
      <c r="E7" s="257"/>
      <c r="F7" s="67" t="s">
        <v>45</v>
      </c>
      <c r="G7" s="68"/>
      <c r="H7" s="69"/>
      <c r="I7" s="70"/>
      <c r="J7" s="70"/>
      <c r="K7" s="70"/>
      <c r="L7" s="70"/>
      <c r="M7" s="70"/>
      <c r="N7" s="70"/>
      <c r="O7" s="70"/>
      <c r="P7" s="70"/>
    </row>
    <row r="8" spans="1:17" ht="15" customHeight="1">
      <c r="A8" s="257" t="s">
        <v>40</v>
      </c>
      <c r="B8" s="257"/>
      <c r="C8" s="257"/>
      <c r="D8" s="257"/>
      <c r="E8" s="257"/>
      <c r="F8" s="177" t="s">
        <v>141</v>
      </c>
      <c r="G8" s="68"/>
      <c r="H8" s="69"/>
      <c r="I8" s="70"/>
      <c r="J8" s="70"/>
      <c r="K8" s="70"/>
      <c r="L8" s="70"/>
      <c r="M8" s="70"/>
      <c r="N8" s="70"/>
      <c r="O8" s="70"/>
      <c r="P8" s="70"/>
    </row>
    <row r="9" spans="1:17" ht="15" customHeight="1">
      <c r="A9" s="71"/>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135</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103" t="s">
        <v>30</v>
      </c>
      <c r="P12" s="252"/>
      <c r="Q12" s="74"/>
    </row>
    <row r="13" spans="1:17" ht="15" customHeight="1">
      <c r="A13" s="255"/>
      <c r="B13" s="255"/>
      <c r="C13" s="255"/>
      <c r="D13" s="255"/>
      <c r="E13" s="255"/>
      <c r="F13" s="263"/>
      <c r="G13" s="252"/>
      <c r="H13" s="256"/>
      <c r="I13" s="103" t="s">
        <v>29</v>
      </c>
      <c r="J13" s="103" t="s">
        <v>28</v>
      </c>
      <c r="K13" s="103" t="s">
        <v>29</v>
      </c>
      <c r="L13" s="103" t="s">
        <v>28</v>
      </c>
      <c r="M13" s="103" t="s">
        <v>29</v>
      </c>
      <c r="N13" s="103" t="s">
        <v>28</v>
      </c>
      <c r="O13" s="103" t="s">
        <v>28</v>
      </c>
      <c r="P13" s="252"/>
      <c r="Q13" s="74"/>
    </row>
    <row r="14" spans="1:17" s="75" customFormat="1" ht="15" customHeight="1">
      <c r="A14" s="247">
        <v>1</v>
      </c>
      <c r="B14" s="248"/>
      <c r="C14" s="248"/>
      <c r="D14" s="248"/>
      <c r="E14" s="249"/>
      <c r="F14" s="110">
        <v>2</v>
      </c>
      <c r="G14" s="111">
        <v>3</v>
      </c>
      <c r="H14" s="112">
        <v>4</v>
      </c>
      <c r="I14" s="113">
        <v>5</v>
      </c>
      <c r="J14" s="113">
        <v>6</v>
      </c>
      <c r="K14" s="113">
        <v>8</v>
      </c>
      <c r="L14" s="113">
        <v>9</v>
      </c>
      <c r="M14" s="113">
        <v>11</v>
      </c>
      <c r="N14" s="113">
        <v>12</v>
      </c>
      <c r="O14" s="113">
        <v>13</v>
      </c>
      <c r="P14" s="113">
        <v>14</v>
      </c>
    </row>
    <row r="15" spans="1:17" s="152" customFormat="1" ht="30" customHeight="1">
      <c r="A15" s="147"/>
      <c r="B15" s="148"/>
      <c r="C15" s="148"/>
      <c r="D15" s="148"/>
      <c r="E15" s="149"/>
      <c r="F15" s="140" t="s">
        <v>107</v>
      </c>
      <c r="G15" s="153">
        <f>G16</f>
        <v>8750419236</v>
      </c>
      <c r="H15" s="150"/>
      <c r="I15" s="151"/>
      <c r="J15" s="151"/>
      <c r="K15" s="151"/>
      <c r="L15" s="151"/>
      <c r="M15" s="151"/>
      <c r="N15" s="151"/>
      <c r="O15" s="151"/>
      <c r="P15" s="151"/>
    </row>
    <row r="16" spans="1:17" s="4" customFormat="1" ht="22.5" customHeight="1">
      <c r="A16" s="36">
        <v>2</v>
      </c>
      <c r="B16" s="36">
        <v>8</v>
      </c>
      <c r="C16" s="36">
        <v>1</v>
      </c>
      <c r="D16" s="37"/>
      <c r="E16" s="36"/>
      <c r="F16" s="38" t="s">
        <v>93</v>
      </c>
      <c r="G16" s="39">
        <f>G17+G25+G29+G33+G41+G45+G50</f>
        <v>8750419236</v>
      </c>
      <c r="H16" s="40">
        <f t="shared" ref="H16:H40" si="0">+G16/$G$119*100%</f>
        <v>0.61068013621642725</v>
      </c>
      <c r="I16" s="39">
        <f>I17+I25+I29+I33+I45+I50</f>
        <v>0</v>
      </c>
      <c r="J16" s="42">
        <f>I16/G16*100</f>
        <v>0</v>
      </c>
      <c r="K16" s="39">
        <f>K17+K25+K29+K33+K45+K50</f>
        <v>302831800</v>
      </c>
      <c r="L16" s="43">
        <f t="shared" ref="L16:L29" si="1">K16/G16*100</f>
        <v>3.4607690424033986</v>
      </c>
      <c r="M16" s="39">
        <f t="shared" ref="M16:M29" si="2">I16+K16</f>
        <v>302831800</v>
      </c>
      <c r="N16" s="43">
        <f t="shared" ref="N16:N29" si="3">M16/G16*100</f>
        <v>3.4607690424033986</v>
      </c>
      <c r="O16" s="44"/>
      <c r="P16" s="39">
        <f t="shared" ref="P16:P29" si="4">G16-M16</f>
        <v>8447587436</v>
      </c>
    </row>
    <row r="17" spans="1:18" s="106" customFormat="1" ht="22.5" customHeight="1">
      <c r="A17" s="5">
        <v>2</v>
      </c>
      <c r="B17" s="5">
        <v>8</v>
      </c>
      <c r="C17" s="5">
        <v>1</v>
      </c>
      <c r="D17" s="6" t="s">
        <v>8</v>
      </c>
      <c r="E17" s="5"/>
      <c r="F17" s="7" t="s">
        <v>27</v>
      </c>
      <c r="G17" s="45">
        <f>SUM(G18:G24)</f>
        <v>41406100</v>
      </c>
      <c r="H17" s="9">
        <f t="shared" si="0"/>
        <v>2.8896767236205835E-3</v>
      </c>
      <c r="I17" s="45">
        <f>SUM(I18:I24)</f>
        <v>0</v>
      </c>
      <c r="J17" s="11">
        <f t="shared" ref="J17:J95" si="5">I17/G17*100</f>
        <v>0</v>
      </c>
      <c r="K17" s="45">
        <f>SUM(K18:K24)</f>
        <v>0</v>
      </c>
      <c r="L17" s="12">
        <f t="shared" si="1"/>
        <v>0</v>
      </c>
      <c r="M17" s="8">
        <f t="shared" si="2"/>
        <v>0</v>
      </c>
      <c r="N17" s="12">
        <f t="shared" si="3"/>
        <v>0</v>
      </c>
      <c r="O17" s="13"/>
      <c r="P17" s="8">
        <f t="shared" si="4"/>
        <v>41406100</v>
      </c>
      <c r="R17" s="107"/>
    </row>
    <row r="18" spans="1:18" s="3" customFormat="1" ht="22.5" customHeight="1">
      <c r="A18" s="14">
        <v>2</v>
      </c>
      <c r="B18" s="14">
        <v>8</v>
      </c>
      <c r="C18" s="14">
        <v>1</v>
      </c>
      <c r="D18" s="15" t="s">
        <v>8</v>
      </c>
      <c r="E18" s="14">
        <v>1</v>
      </c>
      <c r="F18" s="16" t="s">
        <v>49</v>
      </c>
      <c r="G18" s="17">
        <v>7249700</v>
      </c>
      <c r="H18" s="18">
        <f t="shared" si="0"/>
        <v>5.0594693398393334E-4</v>
      </c>
      <c r="I18" s="19">
        <v>0</v>
      </c>
      <c r="J18" s="28">
        <f t="shared" si="5"/>
        <v>0</v>
      </c>
      <c r="K18" s="21">
        <v>0</v>
      </c>
      <c r="L18" s="20">
        <f t="shared" si="1"/>
        <v>0</v>
      </c>
      <c r="M18" s="30">
        <f t="shared" si="2"/>
        <v>0</v>
      </c>
      <c r="N18" s="29">
        <f t="shared" si="3"/>
        <v>0</v>
      </c>
      <c r="O18" s="22"/>
      <c r="P18" s="21">
        <f t="shared" si="4"/>
        <v>7249700</v>
      </c>
      <c r="R18" s="76"/>
    </row>
    <row r="19" spans="1:18" s="3" customFormat="1" ht="22.5" customHeight="1">
      <c r="A19" s="14">
        <v>2</v>
      </c>
      <c r="B19" s="14">
        <v>8</v>
      </c>
      <c r="C19" s="14">
        <v>1</v>
      </c>
      <c r="D19" s="15" t="s">
        <v>8</v>
      </c>
      <c r="E19" s="14">
        <v>2</v>
      </c>
      <c r="F19" s="16" t="s">
        <v>50</v>
      </c>
      <c r="G19" s="17">
        <v>6750400</v>
      </c>
      <c r="H19" s="18">
        <f t="shared" si="0"/>
        <v>4.7110145015175027E-4</v>
      </c>
      <c r="I19" s="19">
        <v>0</v>
      </c>
      <c r="J19" s="28">
        <f t="shared" si="5"/>
        <v>0</v>
      </c>
      <c r="K19" s="21">
        <v>0</v>
      </c>
      <c r="L19" s="20">
        <f t="shared" si="1"/>
        <v>0</v>
      </c>
      <c r="M19" s="30">
        <f t="shared" si="2"/>
        <v>0</v>
      </c>
      <c r="N19" s="29">
        <f t="shared" si="3"/>
        <v>0</v>
      </c>
      <c r="O19" s="22"/>
      <c r="P19" s="21">
        <f t="shared" si="4"/>
        <v>6750400</v>
      </c>
      <c r="R19" s="76"/>
    </row>
    <row r="20" spans="1:18" s="3" customFormat="1" ht="22.5" customHeight="1">
      <c r="A20" s="14">
        <v>2</v>
      </c>
      <c r="B20" s="14">
        <v>8</v>
      </c>
      <c r="C20" s="14">
        <v>1</v>
      </c>
      <c r="D20" s="15" t="s">
        <v>8</v>
      </c>
      <c r="E20" s="14">
        <v>3</v>
      </c>
      <c r="F20" s="16" t="s">
        <v>51</v>
      </c>
      <c r="G20" s="17">
        <v>8800000</v>
      </c>
      <c r="H20" s="18">
        <f t="shared" si="0"/>
        <v>6.1414031188305909E-4</v>
      </c>
      <c r="I20" s="19">
        <v>0</v>
      </c>
      <c r="J20" s="28">
        <f t="shared" si="5"/>
        <v>0</v>
      </c>
      <c r="K20" s="21">
        <v>0</v>
      </c>
      <c r="L20" s="20">
        <f t="shared" si="1"/>
        <v>0</v>
      </c>
      <c r="M20" s="30">
        <f t="shared" si="2"/>
        <v>0</v>
      </c>
      <c r="N20" s="29">
        <f t="shared" si="3"/>
        <v>0</v>
      </c>
      <c r="O20" s="22"/>
      <c r="P20" s="21">
        <f t="shared" si="4"/>
        <v>8800000</v>
      </c>
      <c r="R20" s="76"/>
    </row>
    <row r="21" spans="1:18" s="3" customFormat="1" ht="22.5" customHeight="1">
      <c r="A21" s="14">
        <v>2</v>
      </c>
      <c r="B21" s="14">
        <v>8</v>
      </c>
      <c r="C21" s="14">
        <v>1</v>
      </c>
      <c r="D21" s="15" t="s">
        <v>8</v>
      </c>
      <c r="E21" s="14">
        <v>4</v>
      </c>
      <c r="F21" s="16" t="s">
        <v>52</v>
      </c>
      <c r="G21" s="17">
        <v>2545000</v>
      </c>
      <c r="H21" s="18">
        <f t="shared" si="0"/>
        <v>1.7761216974345289E-4</v>
      </c>
      <c r="I21" s="19">
        <v>0</v>
      </c>
      <c r="J21" s="28">
        <f t="shared" si="5"/>
        <v>0</v>
      </c>
      <c r="K21" s="21">
        <v>0</v>
      </c>
      <c r="L21" s="20">
        <f t="shared" si="1"/>
        <v>0</v>
      </c>
      <c r="M21" s="30">
        <f t="shared" si="2"/>
        <v>0</v>
      </c>
      <c r="N21" s="29">
        <f t="shared" si="3"/>
        <v>0</v>
      </c>
      <c r="O21" s="22"/>
      <c r="P21" s="21">
        <f t="shared" si="4"/>
        <v>2545000</v>
      </c>
      <c r="R21" s="76"/>
    </row>
    <row r="22" spans="1:18" s="3" customFormat="1" ht="22.5" customHeight="1">
      <c r="A22" s="14">
        <v>2</v>
      </c>
      <c r="B22" s="14">
        <v>8</v>
      </c>
      <c r="C22" s="14">
        <v>1</v>
      </c>
      <c r="D22" s="15" t="s">
        <v>8</v>
      </c>
      <c r="E22" s="14">
        <v>5</v>
      </c>
      <c r="F22" s="16" t="s">
        <v>53</v>
      </c>
      <c r="G22" s="17">
        <v>2675000</v>
      </c>
      <c r="H22" s="18">
        <f t="shared" si="0"/>
        <v>1.8668469707808899E-4</v>
      </c>
      <c r="I22" s="19">
        <v>0</v>
      </c>
      <c r="J22" s="28">
        <f t="shared" si="5"/>
        <v>0</v>
      </c>
      <c r="K22" s="21">
        <v>0</v>
      </c>
      <c r="L22" s="20">
        <f t="shared" si="1"/>
        <v>0</v>
      </c>
      <c r="M22" s="30">
        <f t="shared" si="2"/>
        <v>0</v>
      </c>
      <c r="N22" s="29">
        <f t="shared" si="3"/>
        <v>0</v>
      </c>
      <c r="O22" s="22"/>
      <c r="P22" s="21">
        <f t="shared" si="4"/>
        <v>2675000</v>
      </c>
      <c r="R22" s="76"/>
    </row>
    <row r="23" spans="1:18" s="3" customFormat="1" ht="31.5" customHeight="1">
      <c r="A23" s="14">
        <v>2</v>
      </c>
      <c r="B23" s="14">
        <v>8</v>
      </c>
      <c r="C23" s="14">
        <v>1</v>
      </c>
      <c r="D23" s="15" t="s">
        <v>8</v>
      </c>
      <c r="E23" s="14">
        <v>6</v>
      </c>
      <c r="F23" s="16" t="s">
        <v>54</v>
      </c>
      <c r="G23" s="17">
        <v>6851000</v>
      </c>
      <c r="H23" s="18">
        <f t="shared" si="0"/>
        <v>4.7812219053532248E-4</v>
      </c>
      <c r="I23" s="19">
        <v>0</v>
      </c>
      <c r="J23" s="28">
        <f t="shared" si="5"/>
        <v>0</v>
      </c>
      <c r="K23" s="21">
        <v>0</v>
      </c>
      <c r="L23" s="20">
        <f t="shared" si="1"/>
        <v>0</v>
      </c>
      <c r="M23" s="30">
        <f t="shared" si="2"/>
        <v>0</v>
      </c>
      <c r="N23" s="29">
        <f t="shared" si="3"/>
        <v>0</v>
      </c>
      <c r="O23" s="22"/>
      <c r="P23" s="21">
        <f t="shared" si="4"/>
        <v>6851000</v>
      </c>
      <c r="R23" s="76"/>
    </row>
    <row r="24" spans="1:18" s="3" customFormat="1" ht="22.5" customHeight="1">
      <c r="A24" s="14">
        <v>2</v>
      </c>
      <c r="B24" s="14">
        <v>8</v>
      </c>
      <c r="C24" s="14">
        <v>1</v>
      </c>
      <c r="D24" s="15" t="s">
        <v>8</v>
      </c>
      <c r="E24" s="14">
        <v>7</v>
      </c>
      <c r="F24" s="16" t="s">
        <v>55</v>
      </c>
      <c r="G24" s="17">
        <v>6535000</v>
      </c>
      <c r="H24" s="18">
        <f t="shared" si="0"/>
        <v>4.5606897024497628E-4</v>
      </c>
      <c r="I24" s="19">
        <v>0</v>
      </c>
      <c r="J24" s="28">
        <f t="shared" si="5"/>
        <v>0</v>
      </c>
      <c r="K24" s="21">
        <v>0</v>
      </c>
      <c r="L24" s="20">
        <f t="shared" si="1"/>
        <v>0</v>
      </c>
      <c r="M24" s="30">
        <f t="shared" si="2"/>
        <v>0</v>
      </c>
      <c r="N24" s="29">
        <f t="shared" si="3"/>
        <v>0</v>
      </c>
      <c r="O24" s="22"/>
      <c r="P24" s="21">
        <f t="shared" si="4"/>
        <v>6535000</v>
      </c>
      <c r="R24" s="76"/>
    </row>
    <row r="25" spans="1:18" s="106" customFormat="1" ht="22.5" customHeight="1">
      <c r="A25" s="5">
        <v>2</v>
      </c>
      <c r="B25" s="5">
        <v>8</v>
      </c>
      <c r="C25" s="5">
        <v>1</v>
      </c>
      <c r="D25" s="6" t="s">
        <v>7</v>
      </c>
      <c r="E25" s="5"/>
      <c r="F25" s="7" t="s">
        <v>26</v>
      </c>
      <c r="G25" s="45">
        <f>SUM(G26:G28)</f>
        <v>6571412909</v>
      </c>
      <c r="H25" s="9">
        <f t="shared" si="0"/>
        <v>0.4586101788006387</v>
      </c>
      <c r="I25" s="45">
        <f>SUM(I26:I28)</f>
        <v>0</v>
      </c>
      <c r="J25" s="11">
        <f t="shared" si="5"/>
        <v>0</v>
      </c>
      <c r="K25" s="45">
        <f>SUM(K26:K28)</f>
        <v>276696800</v>
      </c>
      <c r="L25" s="12">
        <f t="shared" si="1"/>
        <v>4.2106135138920395</v>
      </c>
      <c r="M25" s="8">
        <f t="shared" si="2"/>
        <v>276696800</v>
      </c>
      <c r="N25" s="12">
        <f t="shared" si="3"/>
        <v>4.2106135138920395</v>
      </c>
      <c r="O25" s="13"/>
      <c r="P25" s="8">
        <f t="shared" si="4"/>
        <v>6294716109</v>
      </c>
    </row>
    <row r="26" spans="1:18" s="3" customFormat="1" ht="22.5" customHeight="1">
      <c r="A26" s="14">
        <v>2</v>
      </c>
      <c r="B26" s="14">
        <v>8</v>
      </c>
      <c r="C26" s="14">
        <v>1</v>
      </c>
      <c r="D26" s="15" t="s">
        <v>7</v>
      </c>
      <c r="E26" s="14">
        <v>1</v>
      </c>
      <c r="F26" s="16" t="s">
        <v>56</v>
      </c>
      <c r="G26" s="17">
        <v>6507764909</v>
      </c>
      <c r="H26" s="18">
        <f t="shared" si="0"/>
        <v>0.45416826941760091</v>
      </c>
      <c r="I26" s="19">
        <v>0</v>
      </c>
      <c r="J26" s="28">
        <f t="shared" si="5"/>
        <v>0</v>
      </c>
      <c r="K26" s="21">
        <f>272524783+4172017</f>
        <v>276696800</v>
      </c>
      <c r="L26" s="20">
        <f t="shared" si="1"/>
        <v>4.2517946463821783</v>
      </c>
      <c r="M26" s="21">
        <f t="shared" si="2"/>
        <v>276696800</v>
      </c>
      <c r="N26" s="20">
        <f t="shared" si="3"/>
        <v>4.2517946463821783</v>
      </c>
      <c r="O26" s="22"/>
      <c r="P26" s="21">
        <f t="shared" si="4"/>
        <v>6231068109</v>
      </c>
    </row>
    <row r="27" spans="1:18" s="3" customFormat="1" ht="22.5" customHeight="1">
      <c r="A27" s="14">
        <v>2</v>
      </c>
      <c r="B27" s="14">
        <v>8</v>
      </c>
      <c r="C27" s="14">
        <v>1</v>
      </c>
      <c r="D27" s="15" t="s">
        <v>7</v>
      </c>
      <c r="E27" s="14">
        <v>2</v>
      </c>
      <c r="F27" s="16" t="s">
        <v>57</v>
      </c>
      <c r="G27" s="17">
        <v>57247000</v>
      </c>
      <c r="H27" s="18">
        <f t="shared" si="0"/>
        <v>3.9951920948147141E-3</v>
      </c>
      <c r="I27" s="19">
        <v>0</v>
      </c>
      <c r="J27" s="28">
        <f t="shared" si="5"/>
        <v>0</v>
      </c>
      <c r="K27" s="21">
        <v>0</v>
      </c>
      <c r="L27" s="20">
        <f t="shared" si="1"/>
        <v>0</v>
      </c>
      <c r="M27" s="30">
        <f t="shared" si="2"/>
        <v>0</v>
      </c>
      <c r="N27" s="29">
        <f t="shared" si="3"/>
        <v>0</v>
      </c>
      <c r="O27" s="22"/>
      <c r="P27" s="21">
        <f t="shared" si="4"/>
        <v>57247000</v>
      </c>
    </row>
    <row r="28" spans="1:18" s="3" customFormat="1" ht="22.5" customHeight="1">
      <c r="A28" s="14">
        <v>2</v>
      </c>
      <c r="B28" s="14">
        <v>8</v>
      </c>
      <c r="C28" s="14">
        <v>1</v>
      </c>
      <c r="D28" s="15" t="s">
        <v>7</v>
      </c>
      <c r="E28" s="14">
        <v>5</v>
      </c>
      <c r="F28" s="16" t="s">
        <v>58</v>
      </c>
      <c r="G28" s="17">
        <v>6401000</v>
      </c>
      <c r="H28" s="18">
        <f t="shared" si="0"/>
        <v>4.4671728822312062E-4</v>
      </c>
      <c r="I28" s="19">
        <v>0</v>
      </c>
      <c r="J28" s="28">
        <f t="shared" si="5"/>
        <v>0</v>
      </c>
      <c r="K28" s="21">
        <v>0</v>
      </c>
      <c r="L28" s="20">
        <f t="shared" si="1"/>
        <v>0</v>
      </c>
      <c r="M28" s="30">
        <f t="shared" si="2"/>
        <v>0</v>
      </c>
      <c r="N28" s="29">
        <f t="shared" si="3"/>
        <v>0</v>
      </c>
      <c r="O28" s="22"/>
      <c r="P28" s="21">
        <f t="shared" si="4"/>
        <v>6401000</v>
      </c>
    </row>
    <row r="29" spans="1:18" s="35" customFormat="1" ht="22.5" customHeight="1">
      <c r="A29" s="5">
        <v>2</v>
      </c>
      <c r="B29" s="5">
        <v>8</v>
      </c>
      <c r="C29" s="5">
        <v>1</v>
      </c>
      <c r="D29" s="6" t="s">
        <v>14</v>
      </c>
      <c r="E29" s="5"/>
      <c r="F29" s="7" t="s">
        <v>25</v>
      </c>
      <c r="G29" s="45">
        <f>SUM(G30:G32)</f>
        <v>13830000</v>
      </c>
      <c r="H29" s="9">
        <f t="shared" si="0"/>
        <v>9.6517733106167135E-4</v>
      </c>
      <c r="I29" s="45">
        <f>I32</f>
        <v>0</v>
      </c>
      <c r="J29" s="11">
        <f t="shared" si="5"/>
        <v>0</v>
      </c>
      <c r="K29" s="45">
        <f>K32</f>
        <v>0</v>
      </c>
      <c r="L29" s="108">
        <f t="shared" si="1"/>
        <v>0</v>
      </c>
      <c r="M29" s="8">
        <f t="shared" si="2"/>
        <v>0</v>
      </c>
      <c r="N29" s="12">
        <f t="shared" si="3"/>
        <v>0</v>
      </c>
      <c r="O29" s="13"/>
      <c r="P29" s="8">
        <f t="shared" si="4"/>
        <v>13830000</v>
      </c>
    </row>
    <row r="30" spans="1:18" s="35" customFormat="1" ht="22.5" customHeight="1">
      <c r="A30" s="14">
        <v>2</v>
      </c>
      <c r="B30" s="14">
        <v>8</v>
      </c>
      <c r="C30" s="14">
        <v>1</v>
      </c>
      <c r="D30" s="15" t="s">
        <v>14</v>
      </c>
      <c r="E30" s="14">
        <v>1</v>
      </c>
      <c r="F30" s="166" t="s">
        <v>114</v>
      </c>
      <c r="G30" s="17">
        <v>1045000</v>
      </c>
      <c r="H30" s="18">
        <f t="shared" si="0"/>
        <v>7.2929162036113266E-5</v>
      </c>
      <c r="I30" s="164"/>
      <c r="J30" s="28"/>
      <c r="K30" s="164"/>
      <c r="L30" s="20"/>
      <c r="M30" s="30"/>
      <c r="N30" s="29"/>
      <c r="O30" s="165"/>
      <c r="P30" s="30"/>
    </row>
    <row r="31" spans="1:18" s="35" customFormat="1" ht="22.5" customHeight="1">
      <c r="A31" s="14">
        <v>2</v>
      </c>
      <c r="B31" s="14">
        <v>8</v>
      </c>
      <c r="C31" s="14">
        <v>1</v>
      </c>
      <c r="D31" s="15" t="s">
        <v>14</v>
      </c>
      <c r="E31" s="14">
        <v>5</v>
      </c>
      <c r="F31" s="166" t="s">
        <v>115</v>
      </c>
      <c r="G31" s="17">
        <v>1100000</v>
      </c>
      <c r="H31" s="18">
        <f t="shared" si="0"/>
        <v>7.6767538985382386E-5</v>
      </c>
      <c r="I31" s="164"/>
      <c r="J31" s="28"/>
      <c r="K31" s="164"/>
      <c r="L31" s="20"/>
      <c r="M31" s="30"/>
      <c r="N31" s="29"/>
      <c r="O31" s="165"/>
      <c r="P31" s="30"/>
    </row>
    <row r="32" spans="1:18" s="3" customFormat="1" ht="22.5" customHeight="1">
      <c r="A32" s="14">
        <v>2</v>
      </c>
      <c r="B32" s="14">
        <v>8</v>
      </c>
      <c r="C32" s="14">
        <v>1</v>
      </c>
      <c r="D32" s="15" t="s">
        <v>14</v>
      </c>
      <c r="E32" s="14">
        <v>6</v>
      </c>
      <c r="F32" s="16" t="s">
        <v>59</v>
      </c>
      <c r="G32" s="17">
        <v>11685000</v>
      </c>
      <c r="H32" s="18">
        <f t="shared" si="0"/>
        <v>8.1548063004017568E-4</v>
      </c>
      <c r="I32" s="19">
        <v>0</v>
      </c>
      <c r="J32" s="28">
        <f t="shared" si="5"/>
        <v>0</v>
      </c>
      <c r="K32" s="21">
        <v>0</v>
      </c>
      <c r="L32" s="20">
        <f t="shared" ref="L32:L37" si="6">K32/G32*100</f>
        <v>0</v>
      </c>
      <c r="M32" s="30">
        <f t="shared" ref="M32:M37" si="7">I32+K32</f>
        <v>0</v>
      </c>
      <c r="N32" s="29">
        <f t="shared" ref="N32:N37" si="8">M32/G32*100</f>
        <v>0</v>
      </c>
      <c r="O32" s="22"/>
      <c r="P32" s="21">
        <f t="shared" ref="P32:P37" si="9">G32-M32</f>
        <v>11685000</v>
      </c>
    </row>
    <row r="33" spans="1:16" s="106" customFormat="1" ht="22.5" customHeight="1">
      <c r="A33" s="5">
        <v>2</v>
      </c>
      <c r="B33" s="5">
        <v>8</v>
      </c>
      <c r="C33" s="5">
        <v>1</v>
      </c>
      <c r="D33" s="6" t="s">
        <v>24</v>
      </c>
      <c r="E33" s="5"/>
      <c r="F33" s="7" t="s">
        <v>4</v>
      </c>
      <c r="G33" s="45">
        <f>SUM(G34:G40)</f>
        <v>861641250</v>
      </c>
      <c r="H33" s="9">
        <f t="shared" si="0"/>
        <v>6.0132798409807828E-2</v>
      </c>
      <c r="I33" s="45">
        <f>SUM(I34:I39)</f>
        <v>0</v>
      </c>
      <c r="J33" s="11">
        <f t="shared" si="5"/>
        <v>0</v>
      </c>
      <c r="K33" s="45">
        <f>SUM(K34:K39)</f>
        <v>0</v>
      </c>
      <c r="L33" s="108">
        <f t="shared" si="6"/>
        <v>0</v>
      </c>
      <c r="M33" s="8">
        <f t="shared" si="7"/>
        <v>0</v>
      </c>
      <c r="N33" s="12">
        <f t="shared" si="8"/>
        <v>0</v>
      </c>
      <c r="O33" s="13"/>
      <c r="P33" s="8">
        <f t="shared" si="9"/>
        <v>861641250</v>
      </c>
    </row>
    <row r="34" spans="1:16" s="3" customFormat="1" ht="22.5" customHeight="1">
      <c r="A34" s="14">
        <v>2</v>
      </c>
      <c r="B34" s="14">
        <v>8</v>
      </c>
      <c r="C34" s="14">
        <v>1</v>
      </c>
      <c r="D34" s="15" t="s">
        <v>24</v>
      </c>
      <c r="E34" s="14">
        <v>1</v>
      </c>
      <c r="F34" s="16" t="s">
        <v>60</v>
      </c>
      <c r="G34" s="17">
        <v>7066000</v>
      </c>
      <c r="H34" s="18">
        <f t="shared" si="0"/>
        <v>4.9312675497337449E-4</v>
      </c>
      <c r="I34" s="19">
        <v>0</v>
      </c>
      <c r="J34" s="28">
        <f t="shared" si="5"/>
        <v>0</v>
      </c>
      <c r="K34" s="21">
        <v>0</v>
      </c>
      <c r="L34" s="20">
        <f t="shared" si="6"/>
        <v>0</v>
      </c>
      <c r="M34" s="30">
        <f t="shared" si="7"/>
        <v>0</v>
      </c>
      <c r="N34" s="29">
        <f t="shared" si="8"/>
        <v>0</v>
      </c>
      <c r="O34" s="22"/>
      <c r="P34" s="21">
        <f t="shared" si="9"/>
        <v>7066000</v>
      </c>
    </row>
    <row r="35" spans="1:16" s="3" customFormat="1" ht="22.5" customHeight="1">
      <c r="A35" s="14">
        <v>2</v>
      </c>
      <c r="B35" s="14">
        <v>8</v>
      </c>
      <c r="C35" s="14">
        <v>1</v>
      </c>
      <c r="D35" s="15" t="s">
        <v>24</v>
      </c>
      <c r="E35" s="14">
        <v>2</v>
      </c>
      <c r="F35" s="16" t="s">
        <v>61</v>
      </c>
      <c r="G35" s="17">
        <v>60937700</v>
      </c>
      <c r="H35" s="18">
        <f t="shared" si="0"/>
        <v>4.252761145845033E-3</v>
      </c>
      <c r="I35" s="19">
        <v>0</v>
      </c>
      <c r="J35" s="28">
        <f t="shared" si="5"/>
        <v>0</v>
      </c>
      <c r="K35" s="21">
        <v>0</v>
      </c>
      <c r="L35" s="20">
        <f t="shared" si="6"/>
        <v>0</v>
      </c>
      <c r="M35" s="30">
        <f t="shared" si="7"/>
        <v>0</v>
      </c>
      <c r="N35" s="29">
        <f t="shared" si="8"/>
        <v>0</v>
      </c>
      <c r="O35" s="22"/>
      <c r="P35" s="21">
        <f t="shared" si="9"/>
        <v>60937700</v>
      </c>
    </row>
    <row r="36" spans="1:16" s="3" customFormat="1" ht="22.5" customHeight="1">
      <c r="A36" s="14">
        <v>2</v>
      </c>
      <c r="B36" s="14">
        <v>8</v>
      </c>
      <c r="C36" s="14">
        <v>1</v>
      </c>
      <c r="D36" s="15" t="s">
        <v>24</v>
      </c>
      <c r="E36" s="14">
        <v>5</v>
      </c>
      <c r="F36" s="16" t="s">
        <v>62</v>
      </c>
      <c r="G36" s="17">
        <v>15300000</v>
      </c>
      <c r="H36" s="18">
        <f t="shared" si="0"/>
        <v>1.0677666786148641E-3</v>
      </c>
      <c r="I36" s="19">
        <v>0</v>
      </c>
      <c r="J36" s="28">
        <f t="shared" si="5"/>
        <v>0</v>
      </c>
      <c r="K36" s="21">
        <v>0</v>
      </c>
      <c r="L36" s="20">
        <f t="shared" si="6"/>
        <v>0</v>
      </c>
      <c r="M36" s="30">
        <f t="shared" si="7"/>
        <v>0</v>
      </c>
      <c r="N36" s="29">
        <f t="shared" si="8"/>
        <v>0</v>
      </c>
      <c r="O36" s="22"/>
      <c r="P36" s="21">
        <f t="shared" si="9"/>
        <v>15300000</v>
      </c>
    </row>
    <row r="37" spans="1:16" s="3" customFormat="1" ht="22.5" customHeight="1">
      <c r="A37" s="14">
        <v>2</v>
      </c>
      <c r="B37" s="14">
        <v>8</v>
      </c>
      <c r="C37" s="14">
        <v>1</v>
      </c>
      <c r="D37" s="15" t="s">
        <v>24</v>
      </c>
      <c r="E37" s="14">
        <v>6</v>
      </c>
      <c r="F37" s="16" t="s">
        <v>63</v>
      </c>
      <c r="G37" s="17">
        <v>12600000</v>
      </c>
      <c r="H37" s="18">
        <f t="shared" si="0"/>
        <v>8.7933726474165286E-4</v>
      </c>
      <c r="I37" s="19">
        <v>0</v>
      </c>
      <c r="J37" s="28">
        <f t="shared" si="5"/>
        <v>0</v>
      </c>
      <c r="K37" s="21">
        <v>0</v>
      </c>
      <c r="L37" s="20">
        <f t="shared" si="6"/>
        <v>0</v>
      </c>
      <c r="M37" s="30">
        <f t="shared" si="7"/>
        <v>0</v>
      </c>
      <c r="N37" s="29">
        <f t="shared" si="8"/>
        <v>0</v>
      </c>
      <c r="O37" s="22"/>
      <c r="P37" s="21">
        <f t="shared" si="9"/>
        <v>12600000</v>
      </c>
    </row>
    <row r="38" spans="1:16" s="3" customFormat="1" ht="22.5" customHeight="1">
      <c r="A38" s="14">
        <v>2</v>
      </c>
      <c r="B38" s="14">
        <v>8</v>
      </c>
      <c r="C38" s="14">
        <v>1</v>
      </c>
      <c r="D38" s="15" t="s">
        <v>24</v>
      </c>
      <c r="E38" s="14">
        <v>8</v>
      </c>
      <c r="F38" s="166" t="s">
        <v>120</v>
      </c>
      <c r="G38" s="17">
        <v>8000000</v>
      </c>
      <c r="H38" s="18">
        <f t="shared" si="0"/>
        <v>5.5830937443914462E-4</v>
      </c>
      <c r="I38" s="19"/>
      <c r="J38" s="28"/>
      <c r="K38" s="21"/>
      <c r="L38" s="20"/>
      <c r="M38" s="30"/>
      <c r="N38" s="29"/>
      <c r="O38" s="22"/>
      <c r="P38" s="21"/>
    </row>
    <row r="39" spans="1:16" s="3" customFormat="1" ht="22.5" customHeight="1">
      <c r="A39" s="14">
        <v>2</v>
      </c>
      <c r="B39" s="14">
        <v>8</v>
      </c>
      <c r="C39" s="14">
        <v>1</v>
      </c>
      <c r="D39" s="15" t="s">
        <v>24</v>
      </c>
      <c r="E39" s="14">
        <v>9</v>
      </c>
      <c r="F39" s="16" t="s">
        <v>64</v>
      </c>
      <c r="G39" s="17">
        <v>754225900</v>
      </c>
      <c r="H39" s="18">
        <f t="shared" si="0"/>
        <v>5.2636423801850109E-2</v>
      </c>
      <c r="I39" s="19">
        <v>0</v>
      </c>
      <c r="J39" s="28">
        <f t="shared" si="5"/>
        <v>0</v>
      </c>
      <c r="K39" s="21">
        <v>0</v>
      </c>
      <c r="L39" s="20">
        <f>K39/G39*100</f>
        <v>0</v>
      </c>
      <c r="M39" s="30">
        <f>I39+K39</f>
        <v>0</v>
      </c>
      <c r="N39" s="29">
        <f>M39/G39*100</f>
        <v>0</v>
      </c>
      <c r="O39" s="22"/>
      <c r="P39" s="21">
        <f>G39-M39</f>
        <v>754225900</v>
      </c>
    </row>
    <row r="40" spans="1:16" s="3" customFormat="1" ht="22.5" customHeight="1">
      <c r="A40" s="14">
        <v>2</v>
      </c>
      <c r="B40" s="14">
        <v>8</v>
      </c>
      <c r="C40" s="14">
        <v>1</v>
      </c>
      <c r="D40" s="15" t="s">
        <v>24</v>
      </c>
      <c r="E40" s="14">
        <v>10</v>
      </c>
      <c r="F40" s="166" t="s">
        <v>118</v>
      </c>
      <c r="G40" s="17">
        <v>3511650</v>
      </c>
      <c r="H40" s="18">
        <f t="shared" si="0"/>
        <v>2.4507338934365281E-4</v>
      </c>
      <c r="I40" s="19"/>
      <c r="J40" s="28"/>
      <c r="K40" s="21"/>
      <c r="L40" s="20"/>
      <c r="M40" s="30"/>
      <c r="N40" s="29"/>
      <c r="O40" s="22"/>
      <c r="P40" s="21"/>
    </row>
    <row r="41" spans="1:16" s="3" customFormat="1" ht="22.5" customHeight="1">
      <c r="A41" s="5">
        <v>2</v>
      </c>
      <c r="B41" s="5">
        <v>8</v>
      </c>
      <c r="C41" s="5">
        <v>1</v>
      </c>
      <c r="D41" s="6" t="s">
        <v>116</v>
      </c>
      <c r="E41" s="5"/>
      <c r="F41" s="167" t="s">
        <v>117</v>
      </c>
      <c r="G41" s="45">
        <f>SUM(G42:G44)</f>
        <v>436053900</v>
      </c>
      <c r="H41" s="9">
        <f t="shared" ref="H41" si="10">+G41/$G$119*100%</f>
        <v>3.0431622516343668E-2</v>
      </c>
      <c r="I41" s="45">
        <f>SUM(I44:I47)</f>
        <v>0</v>
      </c>
      <c r="J41" s="11">
        <f t="shared" ref="J41" si="11">I41/G41*100</f>
        <v>0</v>
      </c>
      <c r="K41" s="45"/>
      <c r="L41" s="12">
        <f>K41/G41*100</f>
        <v>0</v>
      </c>
      <c r="M41" s="8">
        <f>I41+K41</f>
        <v>0</v>
      </c>
      <c r="N41" s="12">
        <f>M41/G41*100</f>
        <v>0</v>
      </c>
      <c r="O41" s="13"/>
      <c r="P41" s="8">
        <f>G41-M41</f>
        <v>436053900</v>
      </c>
    </row>
    <row r="42" spans="1:16" s="3" customFormat="1" ht="22.5" customHeight="1">
      <c r="A42" s="14">
        <v>2</v>
      </c>
      <c r="B42" s="14">
        <v>8</v>
      </c>
      <c r="C42" s="14">
        <v>1</v>
      </c>
      <c r="D42" s="15" t="s">
        <v>116</v>
      </c>
      <c r="E42" s="14">
        <v>2</v>
      </c>
      <c r="F42" s="166" t="s">
        <v>143</v>
      </c>
      <c r="G42" s="17">
        <v>300000000</v>
      </c>
      <c r="H42" s="18">
        <f t="shared" ref="H42:H53" si="12">+G42/$G$119*100%</f>
        <v>2.0936601541467925E-2</v>
      </c>
      <c r="I42" s="164"/>
      <c r="J42" s="28"/>
      <c r="K42" s="164"/>
      <c r="L42" s="29"/>
      <c r="M42" s="30"/>
      <c r="N42" s="29"/>
      <c r="O42" s="165"/>
      <c r="P42" s="30"/>
    </row>
    <row r="43" spans="1:16" s="3" customFormat="1" ht="22.5" customHeight="1">
      <c r="A43" s="14">
        <v>2</v>
      </c>
      <c r="B43" s="14">
        <v>8</v>
      </c>
      <c r="C43" s="14">
        <v>1</v>
      </c>
      <c r="D43" s="15" t="s">
        <v>116</v>
      </c>
      <c r="E43" s="14">
        <v>5</v>
      </c>
      <c r="F43" s="166" t="s">
        <v>144</v>
      </c>
      <c r="G43" s="17">
        <v>46109900</v>
      </c>
      <c r="H43" s="18">
        <f t="shared" si="12"/>
        <v>3.2179486780564395E-3</v>
      </c>
      <c r="I43" s="164"/>
      <c r="J43" s="28"/>
      <c r="K43" s="164"/>
      <c r="L43" s="29"/>
      <c r="M43" s="30"/>
      <c r="N43" s="29"/>
      <c r="O43" s="165"/>
      <c r="P43" s="30"/>
    </row>
    <row r="44" spans="1:16" s="3" customFormat="1" ht="22.5" customHeight="1">
      <c r="A44" s="14">
        <v>2</v>
      </c>
      <c r="B44" s="14">
        <v>8</v>
      </c>
      <c r="C44" s="14">
        <v>1</v>
      </c>
      <c r="D44" s="15" t="s">
        <v>116</v>
      </c>
      <c r="E44" s="14">
        <v>6</v>
      </c>
      <c r="F44" s="166" t="s">
        <v>119</v>
      </c>
      <c r="G44" s="17">
        <v>89944000</v>
      </c>
      <c r="H44" s="18">
        <f t="shared" si="12"/>
        <v>6.2770722968193034E-3</v>
      </c>
      <c r="I44" s="19"/>
      <c r="J44" s="28"/>
      <c r="K44" s="21"/>
      <c r="L44" s="20"/>
      <c r="M44" s="30"/>
      <c r="N44" s="29"/>
      <c r="O44" s="22"/>
      <c r="P44" s="21"/>
    </row>
    <row r="45" spans="1:16" s="106" customFormat="1" ht="22.5" customHeight="1">
      <c r="A45" s="5">
        <v>2</v>
      </c>
      <c r="B45" s="5">
        <v>8</v>
      </c>
      <c r="C45" s="5">
        <v>1</v>
      </c>
      <c r="D45" s="6" t="s">
        <v>23</v>
      </c>
      <c r="E45" s="5"/>
      <c r="F45" s="7" t="s">
        <v>3</v>
      </c>
      <c r="G45" s="45">
        <f>SUM(G46:G49)</f>
        <v>510041077</v>
      </c>
      <c r="H45" s="9">
        <f t="shared" si="12"/>
        <v>3.5595089329767203E-2</v>
      </c>
      <c r="I45" s="45">
        <f>SUM(I46:I49)</f>
        <v>0</v>
      </c>
      <c r="J45" s="11">
        <f t="shared" si="5"/>
        <v>0</v>
      </c>
      <c r="K45" s="45">
        <f>SUM(K46:K49)</f>
        <v>26135000</v>
      </c>
      <c r="L45" s="12">
        <f t="shared" ref="L45:L53" si="13">K45/G45*100</f>
        <v>5.1240970930660943</v>
      </c>
      <c r="M45" s="8">
        <f t="shared" ref="M45:M53" si="14">I45+K45</f>
        <v>26135000</v>
      </c>
      <c r="N45" s="12">
        <f t="shared" ref="N45:N53" si="15">M45/G45*100</f>
        <v>5.1240970930660943</v>
      </c>
      <c r="O45" s="13"/>
      <c r="P45" s="8">
        <f t="shared" ref="P45:P53" si="16">G45-M45</f>
        <v>483906077</v>
      </c>
    </row>
    <row r="46" spans="1:16" s="3" customFormat="1" ht="22.5" customHeight="1">
      <c r="A46" s="14">
        <v>2</v>
      </c>
      <c r="B46" s="14">
        <v>8</v>
      </c>
      <c r="C46" s="14">
        <v>1</v>
      </c>
      <c r="D46" s="15" t="s">
        <v>23</v>
      </c>
      <c r="E46" s="14">
        <v>1</v>
      </c>
      <c r="F46" s="16" t="s">
        <v>65</v>
      </c>
      <c r="G46" s="17">
        <v>1749600</v>
      </c>
      <c r="H46" s="18">
        <f t="shared" si="12"/>
        <v>1.2210226018984094E-4</v>
      </c>
      <c r="I46" s="19">
        <v>0</v>
      </c>
      <c r="J46" s="28">
        <f t="shared" si="5"/>
        <v>0</v>
      </c>
      <c r="K46" s="21">
        <v>0</v>
      </c>
      <c r="L46" s="20">
        <f t="shared" si="13"/>
        <v>0</v>
      </c>
      <c r="M46" s="30">
        <f t="shared" si="14"/>
        <v>0</v>
      </c>
      <c r="N46" s="29">
        <f t="shared" si="15"/>
        <v>0</v>
      </c>
      <c r="O46" s="22"/>
      <c r="P46" s="21">
        <f t="shared" si="16"/>
        <v>1749600</v>
      </c>
    </row>
    <row r="47" spans="1:16" s="3" customFormat="1" ht="22.5" customHeight="1">
      <c r="A47" s="14">
        <v>2</v>
      </c>
      <c r="B47" s="14">
        <v>8</v>
      </c>
      <c r="C47" s="14">
        <v>1</v>
      </c>
      <c r="D47" s="15" t="s">
        <v>23</v>
      </c>
      <c r="E47" s="14">
        <v>2</v>
      </c>
      <c r="F47" s="16" t="s">
        <v>66</v>
      </c>
      <c r="G47" s="17">
        <v>114691477</v>
      </c>
      <c r="H47" s="18">
        <f t="shared" si="12"/>
        <v>8.004165847171443E-3</v>
      </c>
      <c r="I47" s="19">
        <v>0</v>
      </c>
      <c r="J47" s="28">
        <f t="shared" si="5"/>
        <v>0</v>
      </c>
      <c r="K47" s="21">
        <v>0</v>
      </c>
      <c r="L47" s="20">
        <f t="shared" si="13"/>
        <v>0</v>
      </c>
      <c r="M47" s="30">
        <f t="shared" si="14"/>
        <v>0</v>
      </c>
      <c r="N47" s="29">
        <f t="shared" si="15"/>
        <v>0</v>
      </c>
      <c r="O47" s="22"/>
      <c r="P47" s="21">
        <f t="shared" si="16"/>
        <v>114691477</v>
      </c>
    </row>
    <row r="48" spans="1:16" s="3" customFormat="1" ht="22.5" customHeight="1">
      <c r="A48" s="14">
        <v>2</v>
      </c>
      <c r="B48" s="14">
        <v>8</v>
      </c>
      <c r="C48" s="14">
        <v>1</v>
      </c>
      <c r="D48" s="15" t="s">
        <v>23</v>
      </c>
      <c r="E48" s="14">
        <v>3</v>
      </c>
      <c r="F48" s="16" t="s">
        <v>67</v>
      </c>
      <c r="G48" s="17">
        <v>36800000</v>
      </c>
      <c r="H48" s="18">
        <f t="shared" si="12"/>
        <v>2.5682231224200655E-3</v>
      </c>
      <c r="I48" s="19">
        <v>0</v>
      </c>
      <c r="J48" s="28">
        <f t="shared" si="5"/>
        <v>0</v>
      </c>
      <c r="K48" s="21">
        <v>0</v>
      </c>
      <c r="L48" s="20">
        <f t="shared" si="13"/>
        <v>0</v>
      </c>
      <c r="M48" s="30">
        <f t="shared" si="14"/>
        <v>0</v>
      </c>
      <c r="N48" s="29">
        <f t="shared" si="15"/>
        <v>0</v>
      </c>
      <c r="O48" s="22"/>
      <c r="P48" s="21">
        <f t="shared" si="16"/>
        <v>36800000</v>
      </c>
    </row>
    <row r="49" spans="1:16" s="3" customFormat="1" ht="22.5" customHeight="1">
      <c r="A49" s="14">
        <v>2</v>
      </c>
      <c r="B49" s="14">
        <v>8</v>
      </c>
      <c r="C49" s="14">
        <v>1</v>
      </c>
      <c r="D49" s="15" t="s">
        <v>23</v>
      </c>
      <c r="E49" s="14">
        <v>4</v>
      </c>
      <c r="F49" s="16" t="s">
        <v>68</v>
      </c>
      <c r="G49" s="17">
        <v>356800000</v>
      </c>
      <c r="H49" s="18">
        <f t="shared" si="12"/>
        <v>2.4900598099985852E-2</v>
      </c>
      <c r="I49" s="19">
        <v>0</v>
      </c>
      <c r="J49" s="28">
        <f t="shared" si="5"/>
        <v>0</v>
      </c>
      <c r="K49" s="24">
        <f>26000000+135000</f>
        <v>26135000</v>
      </c>
      <c r="L49" s="20">
        <f t="shared" si="13"/>
        <v>7.3248318385650224</v>
      </c>
      <c r="M49" s="21">
        <f t="shared" si="14"/>
        <v>26135000</v>
      </c>
      <c r="N49" s="20">
        <f t="shared" si="15"/>
        <v>7.3248318385650224</v>
      </c>
      <c r="O49" s="22"/>
      <c r="P49" s="21">
        <f t="shared" si="16"/>
        <v>330665000</v>
      </c>
    </row>
    <row r="50" spans="1:16" s="106" customFormat="1" ht="22.5" customHeight="1">
      <c r="A50" s="5">
        <v>2</v>
      </c>
      <c r="B50" s="5">
        <v>8</v>
      </c>
      <c r="C50" s="5">
        <v>1</v>
      </c>
      <c r="D50" s="6" t="s">
        <v>22</v>
      </c>
      <c r="E50" s="5"/>
      <c r="F50" s="7" t="s">
        <v>21</v>
      </c>
      <c r="G50" s="26">
        <f>SUM(G51:G53)</f>
        <v>316034000</v>
      </c>
      <c r="H50" s="9">
        <f t="shared" si="12"/>
        <v>2.2055593105187579E-2</v>
      </c>
      <c r="I50" s="26">
        <f>SUM(I51:I53)</f>
        <v>0</v>
      </c>
      <c r="J50" s="11">
        <f t="shared" si="5"/>
        <v>0</v>
      </c>
      <c r="K50" s="26">
        <f>SUM(K51:K53)</f>
        <v>0</v>
      </c>
      <c r="L50" s="108">
        <f t="shared" si="13"/>
        <v>0</v>
      </c>
      <c r="M50" s="8">
        <f t="shared" si="14"/>
        <v>0</v>
      </c>
      <c r="N50" s="12">
        <f t="shared" si="15"/>
        <v>0</v>
      </c>
      <c r="O50" s="13"/>
      <c r="P50" s="8">
        <f t="shared" si="16"/>
        <v>316034000</v>
      </c>
    </row>
    <row r="51" spans="1:16" s="3" customFormat="1" ht="31.5" customHeight="1">
      <c r="A51" s="14">
        <v>2</v>
      </c>
      <c r="B51" s="14">
        <v>8</v>
      </c>
      <c r="C51" s="14">
        <v>1</v>
      </c>
      <c r="D51" s="15" t="s">
        <v>22</v>
      </c>
      <c r="E51" s="14">
        <v>1</v>
      </c>
      <c r="F51" s="16" t="s">
        <v>69</v>
      </c>
      <c r="G51" s="25">
        <v>205390000</v>
      </c>
      <c r="H51" s="18">
        <f t="shared" si="12"/>
        <v>1.433389530200699E-2</v>
      </c>
      <c r="I51" s="19">
        <v>0</v>
      </c>
      <c r="J51" s="28">
        <f t="shared" si="5"/>
        <v>0</v>
      </c>
      <c r="K51" s="21">
        <v>0</v>
      </c>
      <c r="L51" s="20">
        <f t="shared" si="13"/>
        <v>0</v>
      </c>
      <c r="M51" s="30">
        <f t="shared" si="14"/>
        <v>0</v>
      </c>
      <c r="N51" s="29">
        <f t="shared" si="15"/>
        <v>0</v>
      </c>
      <c r="O51" s="22"/>
      <c r="P51" s="21">
        <f t="shared" si="16"/>
        <v>205390000</v>
      </c>
    </row>
    <row r="52" spans="1:16" s="3" customFormat="1" ht="22.5" customHeight="1">
      <c r="A52" s="14">
        <v>2</v>
      </c>
      <c r="B52" s="14">
        <v>8</v>
      </c>
      <c r="C52" s="14">
        <v>1</v>
      </c>
      <c r="D52" s="15" t="s">
        <v>22</v>
      </c>
      <c r="E52" s="14">
        <v>6</v>
      </c>
      <c r="F52" s="16" t="s">
        <v>70</v>
      </c>
      <c r="G52" s="25">
        <v>23440000</v>
      </c>
      <c r="H52" s="18">
        <f t="shared" si="12"/>
        <v>1.6358464671066939E-3</v>
      </c>
      <c r="I52" s="19">
        <v>0</v>
      </c>
      <c r="J52" s="28">
        <f t="shared" si="5"/>
        <v>0</v>
      </c>
      <c r="K52" s="21">
        <v>0</v>
      </c>
      <c r="L52" s="20">
        <f t="shared" si="13"/>
        <v>0</v>
      </c>
      <c r="M52" s="30">
        <f t="shared" si="14"/>
        <v>0</v>
      </c>
      <c r="N52" s="29">
        <f t="shared" si="15"/>
        <v>0</v>
      </c>
      <c r="O52" s="22"/>
      <c r="P52" s="21">
        <f t="shared" si="16"/>
        <v>23440000</v>
      </c>
    </row>
    <row r="53" spans="1:16" s="3" customFormat="1" ht="22.5" customHeight="1">
      <c r="A53" s="14">
        <v>2</v>
      </c>
      <c r="B53" s="14">
        <v>8</v>
      </c>
      <c r="C53" s="14">
        <v>1</v>
      </c>
      <c r="D53" s="15" t="s">
        <v>22</v>
      </c>
      <c r="E53" s="14">
        <v>9</v>
      </c>
      <c r="F53" s="16" t="s">
        <v>88</v>
      </c>
      <c r="G53" s="25">
        <v>87204000</v>
      </c>
      <c r="H53" s="18">
        <f t="shared" si="12"/>
        <v>6.0858513360738959E-3</v>
      </c>
      <c r="I53" s="19">
        <v>0</v>
      </c>
      <c r="J53" s="28">
        <f t="shared" si="5"/>
        <v>0</v>
      </c>
      <c r="K53" s="21">
        <v>0</v>
      </c>
      <c r="L53" s="20">
        <f t="shared" si="13"/>
        <v>0</v>
      </c>
      <c r="M53" s="30">
        <f t="shared" si="14"/>
        <v>0</v>
      </c>
      <c r="N53" s="29">
        <f t="shared" si="15"/>
        <v>0</v>
      </c>
      <c r="O53" s="22"/>
      <c r="P53" s="21">
        <f t="shared" si="16"/>
        <v>87204000</v>
      </c>
    </row>
    <row r="54" spans="1:16" s="146" customFormat="1" ht="31.5" customHeight="1">
      <c r="A54" s="130"/>
      <c r="B54" s="130"/>
      <c r="C54" s="130"/>
      <c r="D54" s="131"/>
      <c r="E54" s="130"/>
      <c r="F54" s="140" t="s">
        <v>108</v>
      </c>
      <c r="G54" s="144">
        <f>G55+G67+G72</f>
        <v>637720000</v>
      </c>
      <c r="H54" s="132"/>
      <c r="I54" s="133"/>
      <c r="J54" s="134"/>
      <c r="K54" s="136"/>
      <c r="L54" s="135"/>
      <c r="M54" s="138"/>
      <c r="N54" s="139"/>
      <c r="O54" s="143"/>
      <c r="P54" s="136"/>
    </row>
    <row r="55" spans="1:16" s="49" customFormat="1" ht="22.5" customHeight="1">
      <c r="A55" s="36">
        <v>2</v>
      </c>
      <c r="B55" s="36">
        <v>8</v>
      </c>
      <c r="C55" s="36">
        <v>2</v>
      </c>
      <c r="D55" s="37"/>
      <c r="E55" s="36"/>
      <c r="F55" s="38" t="s">
        <v>20</v>
      </c>
      <c r="G55" s="46">
        <f>G56+G58</f>
        <v>328000000</v>
      </c>
      <c r="H55" s="40">
        <f>+G55/$G$119*100%</f>
        <v>2.289068435200493E-2</v>
      </c>
      <c r="I55" s="46">
        <f>I56</f>
        <v>0</v>
      </c>
      <c r="J55" s="42">
        <f t="shared" si="5"/>
        <v>0</v>
      </c>
      <c r="K55" s="46">
        <f>K56</f>
        <v>0</v>
      </c>
      <c r="L55" s="43">
        <f>K55/G55*100</f>
        <v>0</v>
      </c>
      <c r="M55" s="39">
        <f>I55+K55</f>
        <v>0</v>
      </c>
      <c r="N55" s="43">
        <f>M55/G55*100</f>
        <v>0</v>
      </c>
      <c r="O55" s="44"/>
      <c r="P55" s="39">
        <f>G55-M55</f>
        <v>328000000</v>
      </c>
    </row>
    <row r="56" spans="1:16" s="106" customFormat="1" ht="31.5" customHeight="1">
      <c r="A56" s="5">
        <v>2</v>
      </c>
      <c r="B56" s="5">
        <v>8</v>
      </c>
      <c r="C56" s="5">
        <v>2</v>
      </c>
      <c r="D56" s="6" t="s">
        <v>8</v>
      </c>
      <c r="E56" s="5"/>
      <c r="F56" s="7" t="s">
        <v>19</v>
      </c>
      <c r="G56" s="45">
        <f>SUM(G57:G57)</f>
        <v>133000000</v>
      </c>
      <c r="H56" s="9">
        <f>+G56/$G$119*100%</f>
        <v>9.2818933500507794E-3</v>
      </c>
      <c r="I56" s="45">
        <f>SUM(I57:I57)</f>
        <v>0</v>
      </c>
      <c r="J56" s="11">
        <f t="shared" si="5"/>
        <v>0</v>
      </c>
      <c r="K56" s="45">
        <f>SUM(K57:K57)</f>
        <v>0</v>
      </c>
      <c r="L56" s="12">
        <f>K56/G56*100</f>
        <v>0</v>
      </c>
      <c r="M56" s="8">
        <f>I56+K56</f>
        <v>0</v>
      </c>
      <c r="N56" s="12">
        <f>M56/G56*100</f>
        <v>0</v>
      </c>
      <c r="O56" s="13"/>
      <c r="P56" s="8">
        <f>G56-M56</f>
        <v>133000000</v>
      </c>
    </row>
    <row r="57" spans="1:16" s="3" customFormat="1" ht="30" customHeight="1">
      <c r="A57" s="14">
        <v>2</v>
      </c>
      <c r="B57" s="14">
        <v>8</v>
      </c>
      <c r="C57" s="14">
        <v>2</v>
      </c>
      <c r="D57" s="15" t="s">
        <v>8</v>
      </c>
      <c r="E57" s="14">
        <v>7</v>
      </c>
      <c r="F57" s="166" t="s">
        <v>145</v>
      </c>
      <c r="G57" s="17">
        <v>133000000</v>
      </c>
      <c r="H57" s="18">
        <f>+G57/$G$119*100%</f>
        <v>9.2818933500507794E-3</v>
      </c>
      <c r="I57" s="19">
        <v>0</v>
      </c>
      <c r="J57" s="28">
        <f t="shared" si="5"/>
        <v>0</v>
      </c>
      <c r="K57" s="21">
        <v>0</v>
      </c>
      <c r="L57" s="20">
        <f>K57/G57*100</f>
        <v>0</v>
      </c>
      <c r="M57" s="30">
        <f>I57+K57</f>
        <v>0</v>
      </c>
      <c r="N57" s="29">
        <f>M57/G57*100</f>
        <v>0</v>
      </c>
      <c r="O57" s="22"/>
      <c r="P57" s="21">
        <f>G57-M57</f>
        <v>133000000</v>
      </c>
    </row>
    <row r="58" spans="1:16" s="3" customFormat="1" ht="36" customHeight="1">
      <c r="A58" s="5">
        <v>2</v>
      </c>
      <c r="B58" s="5">
        <v>8</v>
      </c>
      <c r="C58" s="5">
        <v>2</v>
      </c>
      <c r="D58" s="6" t="s">
        <v>7</v>
      </c>
      <c r="E58" s="5"/>
      <c r="F58" s="7" t="s">
        <v>146</v>
      </c>
      <c r="G58" s="45">
        <f>SUM(G59:G59)</f>
        <v>195000000</v>
      </c>
      <c r="H58" s="9">
        <f>+G58/$G$119*100%</f>
        <v>1.3608791001954151E-2</v>
      </c>
      <c r="I58" s="45">
        <f>SUM(I59:I59)</f>
        <v>0</v>
      </c>
      <c r="J58" s="11">
        <f t="shared" ref="J58:J59" si="17">I58/G58*100</f>
        <v>0</v>
      </c>
      <c r="K58" s="45">
        <f>SUM(K59:K59)</f>
        <v>0</v>
      </c>
      <c r="L58" s="12">
        <f>K58/G58*100</f>
        <v>0</v>
      </c>
      <c r="M58" s="8">
        <f>I58+K58</f>
        <v>0</v>
      </c>
      <c r="N58" s="12">
        <f>M58/G58*100</f>
        <v>0</v>
      </c>
      <c r="O58" s="13"/>
      <c r="P58" s="8">
        <f>G58-M58</f>
        <v>195000000</v>
      </c>
    </row>
    <row r="59" spans="1:16" s="3" customFormat="1" ht="34.5" customHeight="1">
      <c r="A59" s="14">
        <v>2</v>
      </c>
      <c r="B59" s="14">
        <v>8</v>
      </c>
      <c r="C59" s="14">
        <v>2</v>
      </c>
      <c r="D59" s="15" t="s">
        <v>7</v>
      </c>
      <c r="E59" s="14">
        <v>2</v>
      </c>
      <c r="F59" s="166" t="s">
        <v>147</v>
      </c>
      <c r="G59" s="17">
        <v>195000000</v>
      </c>
      <c r="H59" s="18">
        <f>+G59/$G$119*100%</f>
        <v>1.3608791001954151E-2</v>
      </c>
      <c r="I59" s="19">
        <v>0</v>
      </c>
      <c r="J59" s="28">
        <f t="shared" si="17"/>
        <v>0</v>
      </c>
      <c r="K59" s="21">
        <v>0</v>
      </c>
      <c r="L59" s="20">
        <f>K59/G59*100</f>
        <v>0</v>
      </c>
      <c r="M59" s="30">
        <f>I59+K59</f>
        <v>0</v>
      </c>
      <c r="N59" s="29">
        <f>M59/G59*100</f>
        <v>0</v>
      </c>
      <c r="O59" s="22"/>
      <c r="P59" s="21">
        <f>G59-M59</f>
        <v>195000000</v>
      </c>
    </row>
    <row r="60" spans="1:16" s="146" customFormat="1" ht="31.5" customHeight="1">
      <c r="A60" s="130"/>
      <c r="B60" s="130"/>
      <c r="C60" s="130"/>
      <c r="D60" s="131"/>
      <c r="E60" s="130"/>
      <c r="F60" s="140" t="s">
        <v>103</v>
      </c>
      <c r="G60" s="144">
        <f>G61</f>
        <v>389086600</v>
      </c>
      <c r="H60" s="132"/>
      <c r="I60" s="133"/>
      <c r="J60" s="134"/>
      <c r="K60" s="136"/>
      <c r="L60" s="135"/>
      <c r="M60" s="138"/>
      <c r="N60" s="139"/>
      <c r="O60" s="143"/>
      <c r="P60" s="136"/>
    </row>
    <row r="61" spans="1:16" s="49" customFormat="1" ht="22.5" customHeight="1">
      <c r="A61" s="36">
        <v>2</v>
      </c>
      <c r="B61" s="36">
        <v>8</v>
      </c>
      <c r="C61" s="36">
        <v>3</v>
      </c>
      <c r="D61" s="37"/>
      <c r="E61" s="36"/>
      <c r="F61" s="38" t="s">
        <v>2</v>
      </c>
      <c r="G61" s="47">
        <f>G62+G64</f>
        <v>389086600</v>
      </c>
      <c r="H61" s="40">
        <f t="shared" ref="H61:H74" si="18">+G61/$G$119*100%</f>
        <v>2.7153837031081714E-2</v>
      </c>
      <c r="I61" s="47">
        <f>I62+I64</f>
        <v>0</v>
      </c>
      <c r="J61" s="42">
        <f t="shared" si="5"/>
        <v>0</v>
      </c>
      <c r="K61" s="47">
        <f>K62+K64</f>
        <v>0</v>
      </c>
      <c r="L61" s="109">
        <f t="shared" ref="L61:L69" si="19">K61/G61*100</f>
        <v>0</v>
      </c>
      <c r="M61" s="39">
        <f t="shared" ref="M61:M69" si="20">I61+K61</f>
        <v>0</v>
      </c>
      <c r="N61" s="43">
        <f t="shared" ref="N61:N69" si="21">M61/G61*100</f>
        <v>0</v>
      </c>
      <c r="O61" s="44"/>
      <c r="P61" s="39">
        <f t="shared" ref="P61:P69" si="22">G61-M61</f>
        <v>389086600</v>
      </c>
    </row>
    <row r="62" spans="1:16" s="106" customFormat="1" ht="32.25" customHeight="1">
      <c r="A62" s="5">
        <v>2</v>
      </c>
      <c r="B62" s="5">
        <v>8</v>
      </c>
      <c r="C62" s="5">
        <v>3</v>
      </c>
      <c r="D62" s="6" t="s">
        <v>8</v>
      </c>
      <c r="E62" s="5"/>
      <c r="F62" s="7" t="s">
        <v>18</v>
      </c>
      <c r="G62" s="45">
        <f>G63</f>
        <v>183550000</v>
      </c>
      <c r="H62" s="9">
        <f t="shared" si="18"/>
        <v>1.2809710709788124E-2</v>
      </c>
      <c r="I62" s="45">
        <f>I63</f>
        <v>0</v>
      </c>
      <c r="J62" s="11">
        <f t="shared" si="5"/>
        <v>0</v>
      </c>
      <c r="K62" s="45">
        <f>K63</f>
        <v>0</v>
      </c>
      <c r="L62" s="108">
        <f t="shared" si="19"/>
        <v>0</v>
      </c>
      <c r="M62" s="8">
        <f t="shared" si="20"/>
        <v>0</v>
      </c>
      <c r="N62" s="12">
        <f t="shared" si="21"/>
        <v>0</v>
      </c>
      <c r="O62" s="13"/>
      <c r="P62" s="8">
        <f t="shared" si="22"/>
        <v>183550000</v>
      </c>
    </row>
    <row r="63" spans="1:16" s="3" customFormat="1" ht="32.25" customHeight="1">
      <c r="A63" s="14">
        <v>2</v>
      </c>
      <c r="B63" s="14">
        <v>8</v>
      </c>
      <c r="C63" s="14">
        <v>3</v>
      </c>
      <c r="D63" s="15" t="s">
        <v>8</v>
      </c>
      <c r="E63" s="14">
        <v>1</v>
      </c>
      <c r="F63" s="16" t="s">
        <v>71</v>
      </c>
      <c r="G63" s="17">
        <v>183550000</v>
      </c>
      <c r="H63" s="18">
        <f t="shared" si="18"/>
        <v>1.2809710709788124E-2</v>
      </c>
      <c r="I63" s="19">
        <v>0</v>
      </c>
      <c r="J63" s="28">
        <f t="shared" si="5"/>
        <v>0</v>
      </c>
      <c r="K63" s="21">
        <v>0</v>
      </c>
      <c r="L63" s="20">
        <f t="shared" si="19"/>
        <v>0</v>
      </c>
      <c r="M63" s="30">
        <f t="shared" si="20"/>
        <v>0</v>
      </c>
      <c r="N63" s="29">
        <f t="shared" si="21"/>
        <v>0</v>
      </c>
      <c r="O63" s="22"/>
      <c r="P63" s="21">
        <f t="shared" si="22"/>
        <v>183550000</v>
      </c>
    </row>
    <row r="64" spans="1:16" s="106" customFormat="1" ht="32.25" customHeight="1">
      <c r="A64" s="5">
        <v>2</v>
      </c>
      <c r="B64" s="5">
        <v>8</v>
      </c>
      <c r="C64" s="5">
        <v>3</v>
      </c>
      <c r="D64" s="6" t="s">
        <v>14</v>
      </c>
      <c r="E64" s="5"/>
      <c r="F64" s="7" t="s">
        <v>17</v>
      </c>
      <c r="G64" s="45">
        <f>G65+G66</f>
        <v>205536600</v>
      </c>
      <c r="H64" s="9">
        <f t="shared" si="18"/>
        <v>1.4344126321293588E-2</v>
      </c>
      <c r="I64" s="45">
        <f>I65+I66</f>
        <v>0</v>
      </c>
      <c r="J64" s="11">
        <f t="shared" si="5"/>
        <v>0</v>
      </c>
      <c r="K64" s="45">
        <f>K65+K66</f>
        <v>0</v>
      </c>
      <c r="L64" s="108">
        <f t="shared" si="19"/>
        <v>0</v>
      </c>
      <c r="M64" s="8">
        <f t="shared" si="20"/>
        <v>0</v>
      </c>
      <c r="N64" s="12">
        <f t="shared" si="21"/>
        <v>0</v>
      </c>
      <c r="O64" s="13"/>
      <c r="P64" s="8">
        <f t="shared" si="22"/>
        <v>205536600</v>
      </c>
    </row>
    <row r="65" spans="1:16" s="3" customFormat="1" ht="32.25" customHeight="1">
      <c r="A65" s="14">
        <v>2</v>
      </c>
      <c r="B65" s="14">
        <v>8</v>
      </c>
      <c r="C65" s="14">
        <v>3</v>
      </c>
      <c r="D65" s="15" t="s">
        <v>14</v>
      </c>
      <c r="E65" s="14">
        <v>2</v>
      </c>
      <c r="F65" s="16" t="s">
        <v>72</v>
      </c>
      <c r="G65" s="17">
        <v>138961600</v>
      </c>
      <c r="H65" s="18">
        <f t="shared" si="18"/>
        <v>9.6979454958828308E-3</v>
      </c>
      <c r="I65" s="19">
        <v>0</v>
      </c>
      <c r="J65" s="28">
        <f t="shared" si="5"/>
        <v>0</v>
      </c>
      <c r="K65" s="21">
        <v>0</v>
      </c>
      <c r="L65" s="20">
        <f t="shared" si="19"/>
        <v>0</v>
      </c>
      <c r="M65" s="30">
        <f t="shared" si="20"/>
        <v>0</v>
      </c>
      <c r="N65" s="29">
        <f t="shared" si="21"/>
        <v>0</v>
      </c>
      <c r="O65" s="22"/>
      <c r="P65" s="21">
        <f t="shared" si="22"/>
        <v>138961600</v>
      </c>
    </row>
    <row r="66" spans="1:16" s="3" customFormat="1" ht="32.25" customHeight="1">
      <c r="A66" s="14">
        <v>2</v>
      </c>
      <c r="B66" s="14">
        <v>8</v>
      </c>
      <c r="C66" s="14">
        <v>3</v>
      </c>
      <c r="D66" s="15" t="s">
        <v>14</v>
      </c>
      <c r="E66" s="14">
        <v>3</v>
      </c>
      <c r="F66" s="16" t="s">
        <v>73</v>
      </c>
      <c r="G66" s="17">
        <v>66575000</v>
      </c>
      <c r="H66" s="18">
        <f t="shared" si="18"/>
        <v>4.6461808254107569E-3</v>
      </c>
      <c r="I66" s="19">
        <v>0</v>
      </c>
      <c r="J66" s="28">
        <f t="shared" si="5"/>
        <v>0</v>
      </c>
      <c r="K66" s="21">
        <v>0</v>
      </c>
      <c r="L66" s="20">
        <f t="shared" si="19"/>
        <v>0</v>
      </c>
      <c r="M66" s="30">
        <f t="shared" si="20"/>
        <v>0</v>
      </c>
      <c r="N66" s="29">
        <f t="shared" si="21"/>
        <v>0</v>
      </c>
      <c r="O66" s="22"/>
      <c r="P66" s="21">
        <f t="shared" si="22"/>
        <v>66575000</v>
      </c>
    </row>
    <row r="67" spans="1:16" s="49" customFormat="1" ht="26.25" customHeight="1">
      <c r="A67" s="36">
        <v>2</v>
      </c>
      <c r="B67" s="36">
        <v>8</v>
      </c>
      <c r="C67" s="36">
        <v>4</v>
      </c>
      <c r="D67" s="37"/>
      <c r="E67" s="36"/>
      <c r="F67" s="38" t="s">
        <v>111</v>
      </c>
      <c r="G67" s="46">
        <f>G68+G70</f>
        <v>284720000</v>
      </c>
      <c r="H67" s="40">
        <f t="shared" si="18"/>
        <v>1.9870230636289159E-2</v>
      </c>
      <c r="I67" s="46">
        <f>+I68</f>
        <v>0</v>
      </c>
      <c r="J67" s="42">
        <f t="shared" si="5"/>
        <v>0</v>
      </c>
      <c r="K67" s="46">
        <f>+K68</f>
        <v>0</v>
      </c>
      <c r="L67" s="109">
        <f t="shared" si="19"/>
        <v>0</v>
      </c>
      <c r="M67" s="39">
        <f t="shared" si="20"/>
        <v>0</v>
      </c>
      <c r="N67" s="43">
        <f t="shared" si="21"/>
        <v>0</v>
      </c>
      <c r="O67" s="48"/>
      <c r="P67" s="39">
        <f t="shared" si="22"/>
        <v>284720000</v>
      </c>
    </row>
    <row r="68" spans="1:16" s="106" customFormat="1" ht="35.25" customHeight="1">
      <c r="A68" s="5">
        <v>2</v>
      </c>
      <c r="B68" s="5">
        <v>8</v>
      </c>
      <c r="C68" s="5">
        <v>4</v>
      </c>
      <c r="D68" s="6" t="s">
        <v>8</v>
      </c>
      <c r="E68" s="5"/>
      <c r="F68" s="167" t="s">
        <v>121</v>
      </c>
      <c r="G68" s="45">
        <f>G69</f>
        <v>234720000</v>
      </c>
      <c r="H68" s="9">
        <f t="shared" si="18"/>
        <v>1.6380797046044504E-2</v>
      </c>
      <c r="I68" s="45">
        <f>I69+I74</f>
        <v>0</v>
      </c>
      <c r="J68" s="11">
        <f t="shared" si="5"/>
        <v>0</v>
      </c>
      <c r="K68" s="45">
        <f>K69+K74</f>
        <v>0</v>
      </c>
      <c r="L68" s="108">
        <f t="shared" si="19"/>
        <v>0</v>
      </c>
      <c r="M68" s="8">
        <f t="shared" si="20"/>
        <v>0</v>
      </c>
      <c r="N68" s="12">
        <f t="shared" si="21"/>
        <v>0</v>
      </c>
      <c r="O68" s="13"/>
      <c r="P68" s="8">
        <f t="shared" si="22"/>
        <v>234720000</v>
      </c>
    </row>
    <row r="69" spans="1:16" s="3" customFormat="1" ht="34.5" customHeight="1">
      <c r="A69" s="14">
        <v>2</v>
      </c>
      <c r="B69" s="14">
        <v>8</v>
      </c>
      <c r="C69" s="14">
        <v>4</v>
      </c>
      <c r="D69" s="15" t="s">
        <v>8</v>
      </c>
      <c r="E69" s="14">
        <v>3</v>
      </c>
      <c r="F69" s="166" t="s">
        <v>148</v>
      </c>
      <c r="G69" s="17">
        <v>234720000</v>
      </c>
      <c r="H69" s="18">
        <f t="shared" si="18"/>
        <v>1.6380797046044504E-2</v>
      </c>
      <c r="I69" s="19">
        <v>0</v>
      </c>
      <c r="J69" s="28">
        <f t="shared" si="5"/>
        <v>0</v>
      </c>
      <c r="K69" s="21">
        <v>0</v>
      </c>
      <c r="L69" s="20">
        <f t="shared" si="19"/>
        <v>0</v>
      </c>
      <c r="M69" s="30">
        <f t="shared" si="20"/>
        <v>0</v>
      </c>
      <c r="N69" s="29">
        <f t="shared" si="21"/>
        <v>0</v>
      </c>
      <c r="O69" s="22"/>
      <c r="P69" s="21">
        <f t="shared" si="22"/>
        <v>234720000</v>
      </c>
    </row>
    <row r="70" spans="1:16" s="3" customFormat="1" ht="36" customHeight="1">
      <c r="A70" s="5">
        <v>2</v>
      </c>
      <c r="B70" s="5">
        <v>8</v>
      </c>
      <c r="C70" s="5">
        <v>4</v>
      </c>
      <c r="D70" s="6" t="s">
        <v>7</v>
      </c>
      <c r="E70" s="5"/>
      <c r="F70" s="167" t="s">
        <v>149</v>
      </c>
      <c r="G70" s="45">
        <f>G71</f>
        <v>50000000</v>
      </c>
      <c r="H70" s="9">
        <f t="shared" si="18"/>
        <v>3.4894335902446541E-3</v>
      </c>
      <c r="I70" s="45">
        <f>I71+I76</f>
        <v>0</v>
      </c>
      <c r="J70" s="11">
        <f t="shared" ref="J70:J74" si="23">I70/G70*100</f>
        <v>0</v>
      </c>
      <c r="K70" s="45">
        <f>K71+K76</f>
        <v>0</v>
      </c>
      <c r="L70" s="108">
        <f t="shared" ref="L70:L74" si="24">K70/G70*100</f>
        <v>0</v>
      </c>
      <c r="M70" s="8">
        <f t="shared" ref="M70:M74" si="25">I70+K70</f>
        <v>0</v>
      </c>
      <c r="N70" s="12">
        <f t="shared" ref="N70:N74" si="26">M70/G70*100</f>
        <v>0</v>
      </c>
      <c r="O70" s="13"/>
      <c r="P70" s="8">
        <f t="shared" ref="P70:P74" si="27">G70-M70</f>
        <v>50000000</v>
      </c>
    </row>
    <row r="71" spans="1:16" s="3" customFormat="1" ht="32.25" customHeight="1">
      <c r="A71" s="14">
        <v>2</v>
      </c>
      <c r="B71" s="14">
        <v>8</v>
      </c>
      <c r="C71" s="14">
        <v>4</v>
      </c>
      <c r="D71" s="15" t="s">
        <v>7</v>
      </c>
      <c r="E71" s="14">
        <v>2</v>
      </c>
      <c r="F71" s="166" t="s">
        <v>150</v>
      </c>
      <c r="G71" s="17">
        <v>50000000</v>
      </c>
      <c r="H71" s="18">
        <f t="shared" si="18"/>
        <v>3.4894335902446541E-3</v>
      </c>
      <c r="I71" s="19">
        <v>0</v>
      </c>
      <c r="J71" s="28">
        <f t="shared" si="23"/>
        <v>0</v>
      </c>
      <c r="K71" s="21">
        <v>0</v>
      </c>
      <c r="L71" s="20">
        <f t="shared" si="24"/>
        <v>0</v>
      </c>
      <c r="M71" s="30">
        <f t="shared" si="25"/>
        <v>0</v>
      </c>
      <c r="N71" s="29">
        <f t="shared" si="26"/>
        <v>0</v>
      </c>
      <c r="O71" s="22"/>
      <c r="P71" s="21">
        <f t="shared" si="27"/>
        <v>50000000</v>
      </c>
    </row>
    <row r="72" spans="1:16" s="3" customFormat="1" ht="32.25" customHeight="1">
      <c r="A72" s="36">
        <v>2</v>
      </c>
      <c r="B72" s="36">
        <v>8</v>
      </c>
      <c r="C72" s="36">
        <v>5</v>
      </c>
      <c r="D72" s="37"/>
      <c r="E72" s="36"/>
      <c r="F72" s="38" t="s">
        <v>151</v>
      </c>
      <c r="G72" s="46">
        <f>G73</f>
        <v>25000000</v>
      </c>
      <c r="H72" s="40">
        <f t="shared" si="18"/>
        <v>1.744716795122327E-3</v>
      </c>
      <c r="I72" s="46">
        <f>+I73</f>
        <v>0</v>
      </c>
      <c r="J72" s="42">
        <f t="shared" si="23"/>
        <v>0</v>
      </c>
      <c r="K72" s="46">
        <f>+K73</f>
        <v>0</v>
      </c>
      <c r="L72" s="109">
        <f t="shared" si="24"/>
        <v>0</v>
      </c>
      <c r="M72" s="39">
        <f t="shared" si="25"/>
        <v>0</v>
      </c>
      <c r="N72" s="43">
        <f t="shared" si="26"/>
        <v>0</v>
      </c>
      <c r="O72" s="48"/>
      <c r="P72" s="39">
        <f t="shared" si="27"/>
        <v>25000000</v>
      </c>
    </row>
    <row r="73" spans="1:16" s="3" customFormat="1" ht="32.25" customHeight="1">
      <c r="A73" s="5">
        <v>2</v>
      </c>
      <c r="B73" s="5">
        <v>8</v>
      </c>
      <c r="C73" s="5">
        <v>5</v>
      </c>
      <c r="D73" s="6" t="s">
        <v>8</v>
      </c>
      <c r="E73" s="5"/>
      <c r="F73" s="167" t="s">
        <v>152</v>
      </c>
      <c r="G73" s="45">
        <f>G74</f>
        <v>25000000</v>
      </c>
      <c r="H73" s="9">
        <f t="shared" si="18"/>
        <v>1.744716795122327E-3</v>
      </c>
      <c r="I73" s="45">
        <f>I74+I79</f>
        <v>0</v>
      </c>
      <c r="J73" s="11">
        <f t="shared" si="23"/>
        <v>0</v>
      </c>
      <c r="K73" s="45">
        <f>K74+K79</f>
        <v>0</v>
      </c>
      <c r="L73" s="108">
        <f t="shared" si="24"/>
        <v>0</v>
      </c>
      <c r="M73" s="8">
        <f t="shared" si="25"/>
        <v>0</v>
      </c>
      <c r="N73" s="12">
        <f t="shared" si="26"/>
        <v>0</v>
      </c>
      <c r="O73" s="13"/>
      <c r="P73" s="8">
        <f t="shared" si="27"/>
        <v>25000000</v>
      </c>
    </row>
    <row r="74" spans="1:16" s="3" customFormat="1" ht="30.75" customHeight="1">
      <c r="A74" s="14">
        <v>2</v>
      </c>
      <c r="B74" s="14">
        <v>8</v>
      </c>
      <c r="C74" s="14">
        <v>5</v>
      </c>
      <c r="D74" s="15" t="s">
        <v>8</v>
      </c>
      <c r="E74" s="14">
        <v>3</v>
      </c>
      <c r="F74" s="166" t="s">
        <v>153</v>
      </c>
      <c r="G74" s="17">
        <v>25000000</v>
      </c>
      <c r="H74" s="18">
        <f t="shared" si="18"/>
        <v>1.744716795122327E-3</v>
      </c>
      <c r="I74" s="19">
        <v>0</v>
      </c>
      <c r="J74" s="28">
        <f t="shared" si="23"/>
        <v>0</v>
      </c>
      <c r="K74" s="21">
        <v>0</v>
      </c>
      <c r="L74" s="20">
        <f t="shared" si="24"/>
        <v>0</v>
      </c>
      <c r="M74" s="30">
        <f t="shared" si="25"/>
        <v>0</v>
      </c>
      <c r="N74" s="29">
        <f t="shared" si="26"/>
        <v>0</v>
      </c>
      <c r="O74" s="22"/>
      <c r="P74" s="21">
        <f t="shared" si="27"/>
        <v>25000000</v>
      </c>
    </row>
    <row r="75" spans="1:16" s="146" customFormat="1" ht="30" customHeight="1">
      <c r="A75" s="130"/>
      <c r="B75" s="130"/>
      <c r="C75" s="130"/>
      <c r="D75" s="131"/>
      <c r="E75" s="130"/>
      <c r="F75" s="140" t="s">
        <v>104</v>
      </c>
      <c r="G75" s="144">
        <f>G76</f>
        <v>429820700</v>
      </c>
      <c r="H75" s="132"/>
      <c r="I75" s="145"/>
      <c r="J75" s="134"/>
      <c r="K75" s="136"/>
      <c r="L75" s="135"/>
      <c r="M75" s="138"/>
      <c r="N75" s="139"/>
      <c r="O75" s="137"/>
      <c r="P75" s="136"/>
    </row>
    <row r="76" spans="1:16" s="49" customFormat="1" ht="23.25" customHeight="1">
      <c r="A76" s="36">
        <v>2</v>
      </c>
      <c r="B76" s="36">
        <v>8</v>
      </c>
      <c r="C76" s="36">
        <v>6</v>
      </c>
      <c r="D76" s="37"/>
      <c r="E76" s="36"/>
      <c r="F76" s="38" t="s">
        <v>16</v>
      </c>
      <c r="G76" s="46">
        <f>G77+G80</f>
        <v>429820700</v>
      </c>
      <c r="H76" s="40">
        <f t="shared" ref="H76:H81" si="28">+G76/$G$119*100%</f>
        <v>2.9996615767249407E-2</v>
      </c>
      <c r="I76" s="46">
        <f>+I77</f>
        <v>0</v>
      </c>
      <c r="J76" s="42">
        <f t="shared" si="5"/>
        <v>0</v>
      </c>
      <c r="K76" s="46">
        <f>+K77</f>
        <v>0</v>
      </c>
      <c r="L76" s="109">
        <f t="shared" ref="L76:L81" si="29">K76/G76*100</f>
        <v>0</v>
      </c>
      <c r="M76" s="39">
        <f t="shared" ref="M76:M81" si="30">I76+K76</f>
        <v>0</v>
      </c>
      <c r="N76" s="43">
        <f t="shared" ref="N76:N81" si="31">M76/G76*100</f>
        <v>0</v>
      </c>
      <c r="O76" s="44"/>
      <c r="P76" s="39">
        <f t="shared" ref="P76:P81" si="32">G76-M76</f>
        <v>429820700</v>
      </c>
    </row>
    <row r="77" spans="1:16" s="106" customFormat="1" ht="36" customHeight="1">
      <c r="A77" s="5">
        <v>2</v>
      </c>
      <c r="B77" s="5">
        <v>8</v>
      </c>
      <c r="C77" s="5">
        <v>6</v>
      </c>
      <c r="D77" s="6" t="s">
        <v>8</v>
      </c>
      <c r="E77" s="5"/>
      <c r="F77" s="7" t="s">
        <v>15</v>
      </c>
      <c r="G77" s="45">
        <f>G78+G79</f>
        <v>389820900</v>
      </c>
      <c r="H77" s="9">
        <f t="shared" si="28"/>
        <v>2.7205082852788044E-2</v>
      </c>
      <c r="I77" s="45">
        <f>I78+I79</f>
        <v>0</v>
      </c>
      <c r="J77" s="11">
        <f t="shared" si="5"/>
        <v>0</v>
      </c>
      <c r="K77" s="45">
        <f>K78+K79</f>
        <v>0</v>
      </c>
      <c r="L77" s="108">
        <f t="shared" si="29"/>
        <v>0</v>
      </c>
      <c r="M77" s="8">
        <f t="shared" si="30"/>
        <v>0</v>
      </c>
      <c r="N77" s="12">
        <f t="shared" si="31"/>
        <v>0</v>
      </c>
      <c r="O77" s="13"/>
      <c r="P77" s="8">
        <f t="shared" si="32"/>
        <v>389820900</v>
      </c>
    </row>
    <row r="78" spans="1:16" s="3" customFormat="1" ht="30" customHeight="1">
      <c r="A78" s="14">
        <v>2</v>
      </c>
      <c r="B78" s="14">
        <v>8</v>
      </c>
      <c r="C78" s="14">
        <v>6</v>
      </c>
      <c r="D78" s="15" t="s">
        <v>8</v>
      </c>
      <c r="E78" s="14">
        <v>2</v>
      </c>
      <c r="F78" s="166" t="s">
        <v>122</v>
      </c>
      <c r="G78" s="17">
        <v>201924900</v>
      </c>
      <c r="H78" s="18">
        <f t="shared" si="28"/>
        <v>1.4092070575335855E-2</v>
      </c>
      <c r="I78" s="19">
        <v>0</v>
      </c>
      <c r="J78" s="28">
        <f t="shared" si="5"/>
        <v>0</v>
      </c>
      <c r="K78" s="21">
        <v>0</v>
      </c>
      <c r="L78" s="20">
        <f t="shared" si="29"/>
        <v>0</v>
      </c>
      <c r="M78" s="30">
        <f t="shared" si="30"/>
        <v>0</v>
      </c>
      <c r="N78" s="29">
        <f t="shared" si="31"/>
        <v>0</v>
      </c>
      <c r="O78" s="22"/>
      <c r="P78" s="21">
        <f t="shared" si="32"/>
        <v>201924900</v>
      </c>
    </row>
    <row r="79" spans="1:16" s="3" customFormat="1" ht="43.5" customHeight="1">
      <c r="A79" s="14">
        <v>2</v>
      </c>
      <c r="B79" s="14">
        <v>8</v>
      </c>
      <c r="C79" s="14">
        <v>6</v>
      </c>
      <c r="D79" s="15" t="s">
        <v>8</v>
      </c>
      <c r="E79" s="14">
        <v>3</v>
      </c>
      <c r="F79" s="166" t="s">
        <v>123</v>
      </c>
      <c r="G79" s="17">
        <v>187896000</v>
      </c>
      <c r="H79" s="18">
        <f t="shared" si="28"/>
        <v>1.311301227745219E-2</v>
      </c>
      <c r="I79" s="19">
        <v>0</v>
      </c>
      <c r="J79" s="28">
        <f t="shared" si="5"/>
        <v>0</v>
      </c>
      <c r="K79" s="21">
        <v>0</v>
      </c>
      <c r="L79" s="20">
        <f t="shared" si="29"/>
        <v>0</v>
      </c>
      <c r="M79" s="30">
        <f t="shared" si="30"/>
        <v>0</v>
      </c>
      <c r="N79" s="29">
        <f t="shared" si="31"/>
        <v>0</v>
      </c>
      <c r="O79" s="22"/>
      <c r="P79" s="21">
        <f t="shared" si="32"/>
        <v>187896000</v>
      </c>
    </row>
    <row r="80" spans="1:16" s="3" customFormat="1" ht="33.75" customHeight="1">
      <c r="A80" s="5">
        <v>2</v>
      </c>
      <c r="B80" s="5">
        <v>8</v>
      </c>
      <c r="C80" s="5">
        <v>6</v>
      </c>
      <c r="D80" s="6" t="s">
        <v>7</v>
      </c>
      <c r="E80" s="5"/>
      <c r="F80" s="167" t="s">
        <v>124</v>
      </c>
      <c r="G80" s="45">
        <f>G81</f>
        <v>39999800</v>
      </c>
      <c r="H80" s="9">
        <f t="shared" si="28"/>
        <v>2.7915329144613623E-3</v>
      </c>
      <c r="I80" s="45">
        <f>I81+I82</f>
        <v>0</v>
      </c>
      <c r="J80" s="11">
        <f t="shared" ref="J80:J81" si="33">I80/G80*100</f>
        <v>0</v>
      </c>
      <c r="K80" s="45">
        <f>K81+K82</f>
        <v>0</v>
      </c>
      <c r="L80" s="108">
        <f t="shared" si="29"/>
        <v>0</v>
      </c>
      <c r="M80" s="8">
        <f t="shared" si="30"/>
        <v>0</v>
      </c>
      <c r="N80" s="12">
        <f t="shared" si="31"/>
        <v>0</v>
      </c>
      <c r="O80" s="13"/>
      <c r="P80" s="8">
        <f t="shared" si="32"/>
        <v>39999800</v>
      </c>
    </row>
    <row r="81" spans="1:16" s="3" customFormat="1" ht="27.75" customHeight="1">
      <c r="A81" s="14">
        <v>2</v>
      </c>
      <c r="B81" s="14">
        <v>8</v>
      </c>
      <c r="C81" s="14">
        <v>6</v>
      </c>
      <c r="D81" s="15" t="s">
        <v>7</v>
      </c>
      <c r="E81" s="14">
        <v>6</v>
      </c>
      <c r="F81" s="166" t="s">
        <v>125</v>
      </c>
      <c r="G81" s="17">
        <v>39999800</v>
      </c>
      <c r="H81" s="18">
        <f t="shared" si="28"/>
        <v>2.7915329144613623E-3</v>
      </c>
      <c r="I81" s="19">
        <v>0</v>
      </c>
      <c r="J81" s="28">
        <f t="shared" si="33"/>
        <v>0</v>
      </c>
      <c r="K81" s="21">
        <v>0</v>
      </c>
      <c r="L81" s="20">
        <f t="shared" si="29"/>
        <v>0</v>
      </c>
      <c r="M81" s="30">
        <f t="shared" si="30"/>
        <v>0</v>
      </c>
      <c r="N81" s="29">
        <f t="shared" si="31"/>
        <v>0</v>
      </c>
      <c r="O81" s="22"/>
      <c r="P81" s="21">
        <f t="shared" si="32"/>
        <v>39999800</v>
      </c>
    </row>
    <row r="82" spans="1:16" s="3" customFormat="1" ht="30" customHeight="1">
      <c r="A82" s="130"/>
      <c r="B82" s="130"/>
      <c r="C82" s="130"/>
      <c r="D82" s="131"/>
      <c r="E82" s="130"/>
      <c r="F82" s="140" t="s">
        <v>105</v>
      </c>
      <c r="G82" s="144">
        <f>G83</f>
        <v>690942900</v>
      </c>
      <c r="H82" s="132"/>
      <c r="I82" s="133"/>
      <c r="J82" s="134"/>
      <c r="K82" s="136"/>
      <c r="L82" s="135"/>
      <c r="M82" s="138"/>
      <c r="N82" s="139"/>
      <c r="O82" s="143"/>
      <c r="P82" s="136"/>
    </row>
    <row r="83" spans="1:16" s="49" customFormat="1" ht="27" customHeight="1">
      <c r="A83" s="36">
        <v>2</v>
      </c>
      <c r="B83" s="36">
        <v>8</v>
      </c>
      <c r="C83" s="36">
        <v>7</v>
      </c>
      <c r="D83" s="37"/>
      <c r="E83" s="36"/>
      <c r="F83" s="38" t="s">
        <v>94</v>
      </c>
      <c r="G83" s="46">
        <f>G84+G86</f>
        <v>690942900</v>
      </c>
      <c r="H83" s="40">
        <f>+G83/$G$119*100%</f>
        <v>4.8219987284021062E-2</v>
      </c>
      <c r="I83" s="46">
        <f>I84+I86</f>
        <v>0</v>
      </c>
      <c r="J83" s="42">
        <f t="shared" si="5"/>
        <v>0</v>
      </c>
      <c r="K83" s="46">
        <f>K84+K86</f>
        <v>0</v>
      </c>
      <c r="L83" s="109">
        <f>K83/G83*100</f>
        <v>0</v>
      </c>
      <c r="M83" s="39">
        <f>I83+K83</f>
        <v>0</v>
      </c>
      <c r="N83" s="43">
        <f>M83/G83*100</f>
        <v>0</v>
      </c>
      <c r="O83" s="44"/>
      <c r="P83" s="39">
        <f>G83-M83</f>
        <v>690942900</v>
      </c>
    </row>
    <row r="84" spans="1:16" s="106" customFormat="1" ht="40.5" customHeight="1">
      <c r="A84" s="5">
        <v>2</v>
      </c>
      <c r="B84" s="5">
        <v>8</v>
      </c>
      <c r="C84" s="5">
        <v>7</v>
      </c>
      <c r="D84" s="6" t="s">
        <v>8</v>
      </c>
      <c r="E84" s="5"/>
      <c r="F84" s="7" t="s">
        <v>43</v>
      </c>
      <c r="G84" s="45">
        <f>G85</f>
        <v>514072900</v>
      </c>
      <c r="H84" s="9">
        <f>+G84/$G$119*100%</f>
        <v>3.5876464901889622E-2</v>
      </c>
      <c r="I84" s="45">
        <f>I85</f>
        <v>0</v>
      </c>
      <c r="J84" s="11">
        <f t="shared" si="5"/>
        <v>0</v>
      </c>
      <c r="K84" s="45">
        <f>K85</f>
        <v>0</v>
      </c>
      <c r="L84" s="108">
        <f>K84/G84*100</f>
        <v>0</v>
      </c>
      <c r="M84" s="8">
        <f>I84+K84</f>
        <v>0</v>
      </c>
      <c r="N84" s="12">
        <f>M84/G84*100</f>
        <v>0</v>
      </c>
      <c r="O84" s="13"/>
      <c r="P84" s="8">
        <f>G84-M84</f>
        <v>514072900</v>
      </c>
    </row>
    <row r="85" spans="1:16" s="3" customFormat="1" ht="40.5" customHeight="1">
      <c r="A85" s="14">
        <v>2</v>
      </c>
      <c r="B85" s="14">
        <v>8</v>
      </c>
      <c r="C85" s="14">
        <v>7</v>
      </c>
      <c r="D85" s="15" t="s">
        <v>8</v>
      </c>
      <c r="E85" s="14">
        <v>2</v>
      </c>
      <c r="F85" s="16" t="s">
        <v>82</v>
      </c>
      <c r="G85" s="17">
        <v>514072900</v>
      </c>
      <c r="H85" s="18">
        <f>+G85/$G$119*100%</f>
        <v>3.5876464901889622E-2</v>
      </c>
      <c r="I85" s="19">
        <v>0</v>
      </c>
      <c r="J85" s="28">
        <f t="shared" si="5"/>
        <v>0</v>
      </c>
      <c r="K85" s="21">
        <v>0</v>
      </c>
      <c r="L85" s="20">
        <f>K85/G85*100</f>
        <v>0</v>
      </c>
      <c r="M85" s="30">
        <f>I85+K85</f>
        <v>0</v>
      </c>
      <c r="N85" s="29">
        <f>M85/G85*100</f>
        <v>0</v>
      </c>
      <c r="O85" s="22"/>
      <c r="P85" s="21">
        <f>G85-M85</f>
        <v>514072900</v>
      </c>
    </row>
    <row r="86" spans="1:16" s="106" customFormat="1" ht="48.75" customHeight="1">
      <c r="A86" s="5">
        <v>2</v>
      </c>
      <c r="B86" s="5">
        <v>8</v>
      </c>
      <c r="C86" s="5">
        <v>7</v>
      </c>
      <c r="D86" s="6" t="s">
        <v>14</v>
      </c>
      <c r="E86" s="5"/>
      <c r="F86" s="7" t="s">
        <v>13</v>
      </c>
      <c r="G86" s="45">
        <f>G87</f>
        <v>176870000</v>
      </c>
      <c r="H86" s="9">
        <f>+G86/$G$119*100%</f>
        <v>1.2343522382131438E-2</v>
      </c>
      <c r="I86" s="45">
        <f>I87</f>
        <v>0</v>
      </c>
      <c r="J86" s="11">
        <f t="shared" si="5"/>
        <v>0</v>
      </c>
      <c r="K86" s="45">
        <f>K87</f>
        <v>0</v>
      </c>
      <c r="L86" s="108">
        <f>K86/G86*100</f>
        <v>0</v>
      </c>
      <c r="M86" s="8">
        <f>I86+K86</f>
        <v>0</v>
      </c>
      <c r="N86" s="12">
        <f>M86/G86*100</f>
        <v>0</v>
      </c>
      <c r="O86" s="13"/>
      <c r="P86" s="8">
        <f>G86-M86</f>
        <v>176870000</v>
      </c>
    </row>
    <row r="87" spans="1:16" s="3" customFormat="1" ht="40.5" customHeight="1">
      <c r="A87" s="14">
        <v>2</v>
      </c>
      <c r="B87" s="14">
        <v>8</v>
      </c>
      <c r="C87" s="14">
        <v>7</v>
      </c>
      <c r="D87" s="15" t="s">
        <v>14</v>
      </c>
      <c r="E87" s="14">
        <v>8</v>
      </c>
      <c r="F87" s="166" t="s">
        <v>126</v>
      </c>
      <c r="G87" s="17">
        <v>176870000</v>
      </c>
      <c r="H87" s="18">
        <f>+G87/$G$119*100%</f>
        <v>1.2343522382131438E-2</v>
      </c>
      <c r="I87" s="19">
        <v>0</v>
      </c>
      <c r="J87" s="28">
        <f t="shared" si="5"/>
        <v>0</v>
      </c>
      <c r="K87" s="21">
        <v>0</v>
      </c>
      <c r="L87" s="20">
        <f>K87/G87*100</f>
        <v>0</v>
      </c>
      <c r="M87" s="30">
        <f>I87+K87</f>
        <v>0</v>
      </c>
      <c r="N87" s="29">
        <f>M87/G87*100</f>
        <v>0</v>
      </c>
      <c r="O87" s="22"/>
      <c r="P87" s="21">
        <f>G87-M87</f>
        <v>176870000</v>
      </c>
    </row>
    <row r="88" spans="1:16" s="146" customFormat="1" ht="35.25" customHeight="1">
      <c r="A88" s="130"/>
      <c r="B88" s="130"/>
      <c r="C88" s="130"/>
      <c r="D88" s="131"/>
      <c r="E88" s="130"/>
      <c r="F88" s="140" t="s">
        <v>106</v>
      </c>
      <c r="G88" s="144">
        <f>G89+G95+G98</f>
        <v>753381950</v>
      </c>
      <c r="H88" s="132"/>
      <c r="I88" s="133"/>
      <c r="J88" s="134"/>
      <c r="K88" s="136"/>
      <c r="L88" s="135"/>
      <c r="M88" s="138"/>
      <c r="N88" s="139"/>
      <c r="O88" s="143"/>
      <c r="P88" s="136"/>
    </row>
    <row r="89" spans="1:16" s="49" customFormat="1" ht="31.5" customHeight="1">
      <c r="A89" s="36">
        <v>2</v>
      </c>
      <c r="B89" s="36">
        <v>14</v>
      </c>
      <c r="C89" s="36">
        <v>2</v>
      </c>
      <c r="D89" s="37"/>
      <c r="E89" s="36"/>
      <c r="F89" s="38" t="s">
        <v>12</v>
      </c>
      <c r="G89" s="46">
        <f>G90+G93</f>
        <v>232558950</v>
      </c>
      <c r="H89" s="40">
        <f>+G89/$G$119*100%</f>
        <v>1.6229980236840538E-2</v>
      </c>
      <c r="I89" s="46">
        <f>I90</f>
        <v>0</v>
      </c>
      <c r="J89" s="42">
        <f t="shared" si="5"/>
        <v>0</v>
      </c>
      <c r="K89" s="46">
        <f>K90</f>
        <v>0</v>
      </c>
      <c r="L89" s="109">
        <f>K89/G89*100</f>
        <v>0</v>
      </c>
      <c r="M89" s="39">
        <f>I89+K89</f>
        <v>0</v>
      </c>
      <c r="N89" s="43">
        <f>M89/G89*100</f>
        <v>0</v>
      </c>
      <c r="O89" s="44"/>
      <c r="P89" s="39">
        <f t="shared" ref="P89:P103" si="34">G89-M89</f>
        <v>232558950</v>
      </c>
    </row>
    <row r="90" spans="1:16" s="106" customFormat="1" ht="40.5" customHeight="1">
      <c r="A90" s="5">
        <v>2</v>
      </c>
      <c r="B90" s="5">
        <v>14</v>
      </c>
      <c r="C90" s="5">
        <v>2</v>
      </c>
      <c r="D90" s="6" t="s">
        <v>8</v>
      </c>
      <c r="E90" s="5"/>
      <c r="F90" s="7" t="s">
        <v>11</v>
      </c>
      <c r="G90" s="45">
        <f>G91+G92</f>
        <v>220558950</v>
      </c>
      <c r="H90" s="9">
        <f>+G90/$G$119*100%</f>
        <v>1.5392516175181822E-2</v>
      </c>
      <c r="I90" s="45">
        <f>I91+I92</f>
        <v>0</v>
      </c>
      <c r="J90" s="11">
        <f t="shared" si="5"/>
        <v>0</v>
      </c>
      <c r="K90" s="45">
        <f>K91</f>
        <v>0</v>
      </c>
      <c r="L90" s="108">
        <f>K90/G90*100</f>
        <v>0</v>
      </c>
      <c r="M90" s="8">
        <f>I90+K90</f>
        <v>0</v>
      </c>
      <c r="N90" s="12">
        <f>M90/G90*100</f>
        <v>0</v>
      </c>
      <c r="O90" s="13"/>
      <c r="P90" s="8">
        <f t="shared" si="34"/>
        <v>220558950</v>
      </c>
    </row>
    <row r="91" spans="1:16" s="3" customFormat="1" ht="25.5" customHeight="1">
      <c r="A91" s="14">
        <v>2</v>
      </c>
      <c r="B91" s="14">
        <v>14</v>
      </c>
      <c r="C91" s="14">
        <v>2</v>
      </c>
      <c r="D91" s="15" t="s">
        <v>8</v>
      </c>
      <c r="E91" s="14">
        <v>3</v>
      </c>
      <c r="F91" s="16" t="s">
        <v>89</v>
      </c>
      <c r="G91" s="17">
        <v>99423950</v>
      </c>
      <c r="H91" s="18">
        <f>+G91/$G$119*100%</f>
        <v>6.9386654160960995E-3</v>
      </c>
      <c r="I91" s="19">
        <v>0</v>
      </c>
      <c r="J91" s="28">
        <f t="shared" si="5"/>
        <v>0</v>
      </c>
      <c r="K91" s="21">
        <v>0</v>
      </c>
      <c r="L91" s="20">
        <f>K91/G91*100</f>
        <v>0</v>
      </c>
      <c r="M91" s="30">
        <f>I91+K91</f>
        <v>0</v>
      </c>
      <c r="N91" s="29">
        <f>M91/G91*100</f>
        <v>0</v>
      </c>
      <c r="O91" s="22"/>
      <c r="P91" s="21">
        <f t="shared" si="34"/>
        <v>99423950</v>
      </c>
    </row>
    <row r="92" spans="1:16" s="3" customFormat="1" ht="47.25" customHeight="1">
      <c r="A92" s="14">
        <v>2</v>
      </c>
      <c r="B92" s="14">
        <v>14</v>
      </c>
      <c r="C92" s="14">
        <v>2</v>
      </c>
      <c r="D92" s="15" t="s">
        <v>8</v>
      </c>
      <c r="E92" s="14">
        <v>7</v>
      </c>
      <c r="F92" s="16" t="s">
        <v>154</v>
      </c>
      <c r="G92" s="17">
        <v>121135000</v>
      </c>
      <c r="H92" s="18">
        <f>+G92/$G$119*100%</f>
        <v>8.4538507590857237E-3</v>
      </c>
      <c r="I92" s="19">
        <v>0</v>
      </c>
      <c r="J92" s="28">
        <f t="shared" si="5"/>
        <v>0</v>
      </c>
      <c r="K92" s="21"/>
      <c r="L92" s="20"/>
      <c r="M92" s="30"/>
      <c r="N92" s="29"/>
      <c r="O92" s="22"/>
      <c r="P92" s="21">
        <f t="shared" si="34"/>
        <v>121135000</v>
      </c>
    </row>
    <row r="93" spans="1:16" s="3" customFormat="1" ht="27" customHeight="1">
      <c r="A93" s="5">
        <v>2</v>
      </c>
      <c r="B93" s="5">
        <v>14</v>
      </c>
      <c r="C93" s="5">
        <v>2</v>
      </c>
      <c r="D93" s="6" t="s">
        <v>7</v>
      </c>
      <c r="E93" s="5"/>
      <c r="F93" s="7" t="s">
        <v>156</v>
      </c>
      <c r="G93" s="45">
        <f>G94</f>
        <v>12000000</v>
      </c>
      <c r="H93" s="9">
        <f t="shared" ref="H93:H94" si="35">+G93/$G$119*100%</f>
        <v>8.3746406165871698E-4</v>
      </c>
      <c r="I93" s="45">
        <f>I94+I95</f>
        <v>0</v>
      </c>
      <c r="J93" s="11">
        <f t="shared" ref="J93:J94" si="36">I93/G93*100</f>
        <v>0</v>
      </c>
      <c r="K93" s="45">
        <f>K94</f>
        <v>0</v>
      </c>
      <c r="L93" s="108">
        <f>K93/G93*100</f>
        <v>0</v>
      </c>
      <c r="M93" s="8">
        <f>I93+K93</f>
        <v>0</v>
      </c>
      <c r="N93" s="12">
        <f>M93/G93*100</f>
        <v>0</v>
      </c>
      <c r="O93" s="13"/>
      <c r="P93" s="8">
        <f t="shared" ref="P93:P94" si="37">G93-M93</f>
        <v>12000000</v>
      </c>
    </row>
    <row r="94" spans="1:16" s="3" customFormat="1" ht="29.25" customHeight="1">
      <c r="A94" s="14">
        <v>2</v>
      </c>
      <c r="B94" s="14">
        <v>14</v>
      </c>
      <c r="C94" s="14">
        <v>2</v>
      </c>
      <c r="D94" s="15" t="s">
        <v>7</v>
      </c>
      <c r="E94" s="14">
        <v>2</v>
      </c>
      <c r="F94" s="16" t="s">
        <v>155</v>
      </c>
      <c r="G94" s="17">
        <v>12000000</v>
      </c>
      <c r="H94" s="18">
        <f t="shared" si="35"/>
        <v>8.3746406165871698E-4</v>
      </c>
      <c r="I94" s="19">
        <v>0</v>
      </c>
      <c r="J94" s="28">
        <f t="shared" si="36"/>
        <v>0</v>
      </c>
      <c r="K94" s="21">
        <v>0</v>
      </c>
      <c r="L94" s="20">
        <f>K94/G94*100</f>
        <v>0</v>
      </c>
      <c r="M94" s="30">
        <f>I94+K94</f>
        <v>0</v>
      </c>
      <c r="N94" s="29">
        <f>M94/G94*100</f>
        <v>0</v>
      </c>
      <c r="O94" s="22"/>
      <c r="P94" s="21">
        <f t="shared" si="37"/>
        <v>12000000</v>
      </c>
    </row>
    <row r="95" spans="1:16" s="49" customFormat="1" ht="26.25" customHeight="1">
      <c r="A95" s="36">
        <v>2</v>
      </c>
      <c r="B95" s="36">
        <v>14</v>
      </c>
      <c r="C95" s="36">
        <v>3</v>
      </c>
      <c r="D95" s="37"/>
      <c r="E95" s="36"/>
      <c r="F95" s="38" t="s">
        <v>10</v>
      </c>
      <c r="G95" s="46">
        <f>G96</f>
        <v>23923000</v>
      </c>
      <c r="H95" s="40">
        <f t="shared" ref="H95:H103" si="38">+G95/$G$119*100%</f>
        <v>1.6695543955884571E-3</v>
      </c>
      <c r="I95" s="46">
        <f>I96</f>
        <v>0</v>
      </c>
      <c r="J95" s="42">
        <f t="shared" si="5"/>
        <v>0</v>
      </c>
      <c r="K95" s="46">
        <f>K96</f>
        <v>0</v>
      </c>
      <c r="L95" s="109">
        <f t="shared" ref="L95:L103" si="39">K95/G95*100</f>
        <v>0</v>
      </c>
      <c r="M95" s="39">
        <f t="shared" ref="M95:M103" si="40">I95+K95</f>
        <v>0</v>
      </c>
      <c r="N95" s="43">
        <f t="shared" ref="N95:N103" si="41">M95/G95*100</f>
        <v>0</v>
      </c>
      <c r="O95" s="44"/>
      <c r="P95" s="39">
        <f t="shared" si="34"/>
        <v>23923000</v>
      </c>
    </row>
    <row r="96" spans="1:16" s="106" customFormat="1" ht="42.75" customHeight="1">
      <c r="A96" s="5">
        <v>2</v>
      </c>
      <c r="B96" s="5">
        <v>14</v>
      </c>
      <c r="C96" s="5">
        <v>3</v>
      </c>
      <c r="D96" s="6" t="s">
        <v>7</v>
      </c>
      <c r="E96" s="5"/>
      <c r="F96" s="167" t="s">
        <v>128</v>
      </c>
      <c r="G96" s="45">
        <f>G97</f>
        <v>23923000</v>
      </c>
      <c r="H96" s="9">
        <f t="shared" si="38"/>
        <v>1.6695543955884571E-3</v>
      </c>
      <c r="I96" s="45">
        <f>I97</f>
        <v>0</v>
      </c>
      <c r="J96" s="11">
        <f t="shared" ref="J96:J119" si="42">I96/G96*100</f>
        <v>0</v>
      </c>
      <c r="K96" s="45">
        <f>K97</f>
        <v>0</v>
      </c>
      <c r="L96" s="108">
        <f t="shared" si="39"/>
        <v>0</v>
      </c>
      <c r="M96" s="8">
        <f t="shared" si="40"/>
        <v>0</v>
      </c>
      <c r="N96" s="12">
        <f t="shared" si="41"/>
        <v>0</v>
      </c>
      <c r="O96" s="13"/>
      <c r="P96" s="8">
        <f t="shared" si="34"/>
        <v>23923000</v>
      </c>
    </row>
    <row r="97" spans="1:16" s="3" customFormat="1" ht="38.25" customHeight="1">
      <c r="A97" s="14">
        <v>2</v>
      </c>
      <c r="B97" s="14">
        <v>14</v>
      </c>
      <c r="C97" s="14">
        <v>3</v>
      </c>
      <c r="D97" s="15" t="s">
        <v>7</v>
      </c>
      <c r="E97" s="14">
        <v>2</v>
      </c>
      <c r="F97" s="166" t="s">
        <v>157</v>
      </c>
      <c r="G97" s="17">
        <v>23923000</v>
      </c>
      <c r="H97" s="18">
        <f t="shared" si="38"/>
        <v>1.6695543955884571E-3</v>
      </c>
      <c r="I97" s="19">
        <v>0</v>
      </c>
      <c r="J97" s="28">
        <f t="shared" si="42"/>
        <v>0</v>
      </c>
      <c r="K97" s="21">
        <v>0</v>
      </c>
      <c r="L97" s="20">
        <f t="shared" si="39"/>
        <v>0</v>
      </c>
      <c r="M97" s="30">
        <f t="shared" si="40"/>
        <v>0</v>
      </c>
      <c r="N97" s="29">
        <f t="shared" si="41"/>
        <v>0</v>
      </c>
      <c r="O97" s="22"/>
      <c r="P97" s="21">
        <f t="shared" si="34"/>
        <v>23923000</v>
      </c>
    </row>
    <row r="98" spans="1:16" s="49" customFormat="1" ht="26.25" customHeight="1">
      <c r="A98" s="36">
        <v>2</v>
      </c>
      <c r="B98" s="36">
        <v>14</v>
      </c>
      <c r="C98" s="36">
        <v>4</v>
      </c>
      <c r="D98" s="37"/>
      <c r="E98" s="36"/>
      <c r="F98" s="38" t="s">
        <v>9</v>
      </c>
      <c r="G98" s="46">
        <f>G99+G102</f>
        <v>496900000</v>
      </c>
      <c r="H98" s="40">
        <f t="shared" si="38"/>
        <v>3.4677991019851369E-2</v>
      </c>
      <c r="I98" s="46">
        <f>I99+I102</f>
        <v>0</v>
      </c>
      <c r="J98" s="42">
        <f t="shared" si="42"/>
        <v>0</v>
      </c>
      <c r="K98" s="46">
        <f>K99+K102</f>
        <v>0</v>
      </c>
      <c r="L98" s="109">
        <f t="shared" si="39"/>
        <v>0</v>
      </c>
      <c r="M98" s="39">
        <f t="shared" si="40"/>
        <v>0</v>
      </c>
      <c r="N98" s="43">
        <f t="shared" si="41"/>
        <v>0</v>
      </c>
      <c r="O98" s="48"/>
      <c r="P98" s="39">
        <f t="shared" si="34"/>
        <v>496900000</v>
      </c>
    </row>
    <row r="99" spans="1:16" s="106" customFormat="1" ht="40.5" customHeight="1">
      <c r="A99" s="5">
        <v>2</v>
      </c>
      <c r="B99" s="5">
        <v>14</v>
      </c>
      <c r="C99" s="5">
        <v>4</v>
      </c>
      <c r="D99" s="6" t="s">
        <v>8</v>
      </c>
      <c r="E99" s="5"/>
      <c r="F99" s="7" t="s">
        <v>90</v>
      </c>
      <c r="G99" s="45">
        <f>G100+G101</f>
        <v>469750000</v>
      </c>
      <c r="H99" s="9">
        <f t="shared" si="38"/>
        <v>3.2783228580348524E-2</v>
      </c>
      <c r="I99" s="45">
        <f>I100</f>
        <v>0</v>
      </c>
      <c r="J99" s="11">
        <f t="shared" si="42"/>
        <v>0</v>
      </c>
      <c r="K99" s="45">
        <f>K100</f>
        <v>0</v>
      </c>
      <c r="L99" s="108">
        <f t="shared" si="39"/>
        <v>0</v>
      </c>
      <c r="M99" s="8">
        <f t="shared" si="40"/>
        <v>0</v>
      </c>
      <c r="N99" s="12">
        <f t="shared" si="41"/>
        <v>0</v>
      </c>
      <c r="O99" s="27"/>
      <c r="P99" s="8">
        <f t="shared" si="34"/>
        <v>469750000</v>
      </c>
    </row>
    <row r="100" spans="1:16" s="3" customFormat="1" ht="35.25" customHeight="1">
      <c r="A100" s="14">
        <v>2</v>
      </c>
      <c r="B100" s="14">
        <v>14</v>
      </c>
      <c r="C100" s="14">
        <v>4</v>
      </c>
      <c r="D100" s="15" t="s">
        <v>8</v>
      </c>
      <c r="E100" s="14">
        <v>17</v>
      </c>
      <c r="F100" s="166" t="s">
        <v>129</v>
      </c>
      <c r="G100" s="17">
        <v>316150000</v>
      </c>
      <c r="H100" s="18">
        <f t="shared" si="38"/>
        <v>2.2063688591116948E-2</v>
      </c>
      <c r="I100" s="19">
        <v>0</v>
      </c>
      <c r="J100" s="28">
        <f t="shared" si="42"/>
        <v>0</v>
      </c>
      <c r="K100" s="21">
        <v>0</v>
      </c>
      <c r="L100" s="20">
        <f t="shared" si="39"/>
        <v>0</v>
      </c>
      <c r="M100" s="30">
        <f t="shared" si="40"/>
        <v>0</v>
      </c>
      <c r="N100" s="29">
        <f t="shared" si="41"/>
        <v>0</v>
      </c>
      <c r="O100" s="23"/>
      <c r="P100" s="21">
        <f t="shared" si="34"/>
        <v>316150000</v>
      </c>
    </row>
    <row r="101" spans="1:16" s="3" customFormat="1" ht="28.5" customHeight="1">
      <c r="A101" s="14">
        <v>2</v>
      </c>
      <c r="B101" s="14">
        <v>14</v>
      </c>
      <c r="C101" s="14">
        <v>4</v>
      </c>
      <c r="D101" s="15" t="s">
        <v>8</v>
      </c>
      <c r="E101" s="14">
        <v>19</v>
      </c>
      <c r="F101" s="166" t="s">
        <v>158</v>
      </c>
      <c r="G101" s="17">
        <v>153600000</v>
      </c>
      <c r="H101" s="18">
        <f t="shared" si="38"/>
        <v>1.0719539989231577E-2</v>
      </c>
      <c r="I101" s="19"/>
      <c r="J101" s="28"/>
      <c r="K101" s="21"/>
      <c r="L101" s="20"/>
      <c r="M101" s="30"/>
      <c r="N101" s="29"/>
      <c r="O101" s="23"/>
      <c r="P101" s="21"/>
    </row>
    <row r="102" spans="1:16" s="106" customFormat="1" ht="47.25" customHeight="1">
      <c r="A102" s="5">
        <v>2</v>
      </c>
      <c r="B102" s="5">
        <v>14</v>
      </c>
      <c r="C102" s="5">
        <v>4</v>
      </c>
      <c r="D102" s="6" t="s">
        <v>7</v>
      </c>
      <c r="E102" s="5"/>
      <c r="F102" s="7" t="s">
        <v>6</v>
      </c>
      <c r="G102" s="26">
        <f>G103</f>
        <v>27150000</v>
      </c>
      <c r="H102" s="9">
        <f t="shared" si="38"/>
        <v>1.8947624395028472E-3</v>
      </c>
      <c r="I102" s="26">
        <f>I103</f>
        <v>0</v>
      </c>
      <c r="J102" s="11">
        <f t="shared" si="42"/>
        <v>0</v>
      </c>
      <c r="K102" s="26">
        <f>K103</f>
        <v>0</v>
      </c>
      <c r="L102" s="108">
        <f t="shared" si="39"/>
        <v>0</v>
      </c>
      <c r="M102" s="8">
        <f t="shared" si="40"/>
        <v>0</v>
      </c>
      <c r="N102" s="12">
        <f t="shared" si="41"/>
        <v>0</v>
      </c>
      <c r="O102" s="27"/>
      <c r="P102" s="8">
        <f t="shared" si="34"/>
        <v>27150000</v>
      </c>
    </row>
    <row r="103" spans="1:16" s="3" customFormat="1" ht="60.75" customHeight="1">
      <c r="A103" s="14">
        <v>2</v>
      </c>
      <c r="B103" s="14">
        <v>14</v>
      </c>
      <c r="C103" s="14">
        <v>4</v>
      </c>
      <c r="D103" s="15" t="s">
        <v>7</v>
      </c>
      <c r="E103" s="14">
        <v>8</v>
      </c>
      <c r="F103" s="166" t="s">
        <v>130</v>
      </c>
      <c r="G103" s="25">
        <v>27150000</v>
      </c>
      <c r="H103" s="18">
        <f t="shared" si="38"/>
        <v>1.8947624395028472E-3</v>
      </c>
      <c r="I103" s="19">
        <v>0</v>
      </c>
      <c r="J103" s="28">
        <f t="shared" si="42"/>
        <v>0</v>
      </c>
      <c r="K103" s="21">
        <v>0</v>
      </c>
      <c r="L103" s="20">
        <f t="shared" si="39"/>
        <v>0</v>
      </c>
      <c r="M103" s="30">
        <f t="shared" si="40"/>
        <v>0</v>
      </c>
      <c r="N103" s="29">
        <f t="shared" si="41"/>
        <v>0</v>
      </c>
      <c r="O103" s="23"/>
      <c r="P103" s="21">
        <f t="shared" si="34"/>
        <v>27150000</v>
      </c>
    </row>
    <row r="104" spans="1:16" s="3" customFormat="1" ht="31.5" customHeight="1">
      <c r="A104" s="130"/>
      <c r="B104" s="130"/>
      <c r="C104" s="130"/>
      <c r="D104" s="131"/>
      <c r="E104" s="130"/>
      <c r="F104" s="141" t="s">
        <v>101</v>
      </c>
      <c r="G104" s="142">
        <f>G105+G113+G116</f>
        <v>2677601700</v>
      </c>
      <c r="H104" s="132"/>
      <c r="I104" s="133"/>
      <c r="J104" s="134"/>
      <c r="K104" s="136"/>
      <c r="L104" s="135"/>
      <c r="M104" s="138"/>
      <c r="N104" s="139"/>
      <c r="O104" s="137"/>
      <c r="P104" s="136"/>
    </row>
    <row r="105" spans="1:16" s="49" customFormat="1" ht="27.75" customHeight="1">
      <c r="A105" s="36">
        <v>2</v>
      </c>
      <c r="B105" s="36">
        <v>8</v>
      </c>
      <c r="C105" s="36">
        <v>1</v>
      </c>
      <c r="D105" s="37"/>
      <c r="E105" s="36"/>
      <c r="F105" s="38" t="s">
        <v>5</v>
      </c>
      <c r="G105" s="46">
        <f>G106+G110</f>
        <v>317209700</v>
      </c>
      <c r="H105" s="40">
        <f>+G105/$G$119*100%</f>
        <v>2.2137643646628593E-2</v>
      </c>
      <c r="I105" s="46">
        <f>I106+I110</f>
        <v>0</v>
      </c>
      <c r="J105" s="42">
        <f t="shared" si="42"/>
        <v>0</v>
      </c>
      <c r="K105" s="46">
        <f>K106+K110</f>
        <v>23521500</v>
      </c>
      <c r="L105" s="43">
        <f>K105/G105*100</f>
        <v>7.4151263344090683</v>
      </c>
      <c r="M105" s="39">
        <f>I105+K105</f>
        <v>23521500</v>
      </c>
      <c r="N105" s="43">
        <f>M105/G105*100</f>
        <v>7.4151263344090683</v>
      </c>
      <c r="O105" s="44"/>
      <c r="P105" s="39">
        <f t="shared" ref="P105:P118" si="43">G105-M105</f>
        <v>293688200</v>
      </c>
    </row>
    <row r="106" spans="1:16" s="106" customFormat="1" ht="27.75" customHeight="1">
      <c r="A106" s="5">
        <v>2</v>
      </c>
      <c r="B106" s="5">
        <v>8</v>
      </c>
      <c r="C106" s="5">
        <v>1</v>
      </c>
      <c r="D106" s="6" t="s">
        <v>24</v>
      </c>
      <c r="E106" s="5"/>
      <c r="F106" s="7" t="s">
        <v>4</v>
      </c>
      <c r="G106" s="45">
        <f>SUM(G107:G109)</f>
        <v>11797700</v>
      </c>
      <c r="H106" s="9">
        <f>+G106/$G$119*100%</f>
        <v>8.2334581335258706E-4</v>
      </c>
      <c r="I106" s="45">
        <f>I108+I109</f>
        <v>0</v>
      </c>
      <c r="J106" s="11">
        <f t="shared" si="42"/>
        <v>0</v>
      </c>
      <c r="K106" s="45">
        <f>K108+K109</f>
        <v>0</v>
      </c>
      <c r="L106" s="108">
        <f>K106/G106*100</f>
        <v>0</v>
      </c>
      <c r="M106" s="8">
        <f>I106+K106</f>
        <v>0</v>
      </c>
      <c r="N106" s="12">
        <f>M106/G106*100</f>
        <v>0</v>
      </c>
      <c r="O106" s="27"/>
      <c r="P106" s="8">
        <f t="shared" si="43"/>
        <v>11797700</v>
      </c>
    </row>
    <row r="107" spans="1:16" s="106" customFormat="1" ht="27.75" customHeight="1">
      <c r="A107" s="14">
        <v>2</v>
      </c>
      <c r="B107" s="14">
        <v>8</v>
      </c>
      <c r="C107" s="14">
        <v>1</v>
      </c>
      <c r="D107" s="15" t="s">
        <v>24</v>
      </c>
      <c r="E107" s="14">
        <v>1</v>
      </c>
      <c r="F107" s="16" t="s">
        <v>60</v>
      </c>
      <c r="G107" s="17">
        <v>1706000</v>
      </c>
      <c r="H107" s="18">
        <f>+G107/$G$119*100%</f>
        <v>1.1905947409914759E-4</v>
      </c>
      <c r="I107" s="19">
        <v>0</v>
      </c>
      <c r="J107" s="28">
        <f t="shared" ref="J107" si="44">I107/G107*100</f>
        <v>0</v>
      </c>
      <c r="K107" s="21">
        <v>0</v>
      </c>
      <c r="L107" s="20">
        <f>K107/G107*100</f>
        <v>0</v>
      </c>
      <c r="M107" s="30">
        <f>I107+K107</f>
        <v>0</v>
      </c>
      <c r="N107" s="29">
        <f>M107/G107*100</f>
        <v>0</v>
      </c>
      <c r="O107" s="23"/>
      <c r="P107" s="21">
        <f t="shared" ref="P107" si="45">G107-M107</f>
        <v>1706000</v>
      </c>
    </row>
    <row r="108" spans="1:16" s="3" customFormat="1" ht="27.75" customHeight="1">
      <c r="A108" s="14">
        <v>2</v>
      </c>
      <c r="B108" s="14">
        <v>8</v>
      </c>
      <c r="C108" s="14">
        <v>1</v>
      </c>
      <c r="D108" s="15" t="s">
        <v>24</v>
      </c>
      <c r="E108" s="14">
        <v>2</v>
      </c>
      <c r="F108" s="16" t="s">
        <v>61</v>
      </c>
      <c r="G108" s="17">
        <v>8794500</v>
      </c>
      <c r="H108" s="18">
        <f>+G108/$G$119*100%</f>
        <v>6.1375647418813225E-4</v>
      </c>
      <c r="I108" s="19">
        <v>0</v>
      </c>
      <c r="J108" s="28">
        <f t="shared" si="42"/>
        <v>0</v>
      </c>
      <c r="K108" s="21">
        <v>0</v>
      </c>
      <c r="L108" s="20">
        <f>K108/G108*100</f>
        <v>0</v>
      </c>
      <c r="M108" s="30">
        <f>I108+K108</f>
        <v>0</v>
      </c>
      <c r="N108" s="29">
        <f>M108/G108*100</f>
        <v>0</v>
      </c>
      <c r="O108" s="23"/>
      <c r="P108" s="21">
        <f t="shared" si="43"/>
        <v>8794500</v>
      </c>
    </row>
    <row r="109" spans="1:16" s="3" customFormat="1" ht="27.75" customHeight="1">
      <c r="A109" s="14">
        <v>2</v>
      </c>
      <c r="B109" s="14">
        <v>8</v>
      </c>
      <c r="C109" s="14">
        <v>1</v>
      </c>
      <c r="D109" s="15" t="s">
        <v>24</v>
      </c>
      <c r="E109" s="14">
        <v>5</v>
      </c>
      <c r="F109" s="16" t="s">
        <v>62</v>
      </c>
      <c r="G109" s="17">
        <v>1297200</v>
      </c>
      <c r="H109" s="18">
        <f>+G109/$G$119*100%</f>
        <v>9.0529865065307311E-5</v>
      </c>
      <c r="I109" s="19">
        <v>0</v>
      </c>
      <c r="J109" s="28">
        <f t="shared" si="42"/>
        <v>0</v>
      </c>
      <c r="K109" s="21"/>
      <c r="L109" s="20"/>
      <c r="M109" s="30"/>
      <c r="N109" s="29"/>
      <c r="O109" s="23"/>
      <c r="P109" s="21">
        <f t="shared" si="43"/>
        <v>1297200</v>
      </c>
    </row>
    <row r="110" spans="1:16" s="106" customFormat="1" ht="27.75" customHeight="1">
      <c r="A110" s="5">
        <v>2</v>
      </c>
      <c r="B110" s="5">
        <v>8</v>
      </c>
      <c r="C110" s="5">
        <v>1</v>
      </c>
      <c r="D110" s="6" t="s">
        <v>23</v>
      </c>
      <c r="E110" s="5"/>
      <c r="F110" s="7" t="s">
        <v>3</v>
      </c>
      <c r="G110" s="45">
        <f>G111+G112</f>
        <v>305412000</v>
      </c>
      <c r="H110" s="9">
        <f t="shared" ref="H110:H119" si="46">+G110/$G$119*100%</f>
        <v>2.1314297833276007E-2</v>
      </c>
      <c r="I110" s="45">
        <f>I111+I112</f>
        <v>0</v>
      </c>
      <c r="J110" s="11">
        <f t="shared" si="42"/>
        <v>0</v>
      </c>
      <c r="K110" s="45">
        <f>K111+K112</f>
        <v>23521500</v>
      </c>
      <c r="L110" s="12">
        <f t="shared" ref="L110:L119" si="47">K110/G110*100</f>
        <v>7.7015637892420736</v>
      </c>
      <c r="M110" s="8">
        <f t="shared" ref="M110:M118" si="48">I110+K110</f>
        <v>23521500</v>
      </c>
      <c r="N110" s="12">
        <f t="shared" ref="N110:N119" si="49">M110/G110*100</f>
        <v>7.7015637892420736</v>
      </c>
      <c r="O110" s="13"/>
      <c r="P110" s="8">
        <f t="shared" si="43"/>
        <v>281890500</v>
      </c>
    </row>
    <row r="111" spans="1:16" s="3" customFormat="1" ht="27.75" customHeight="1">
      <c r="A111" s="14">
        <v>2</v>
      </c>
      <c r="B111" s="14">
        <v>8</v>
      </c>
      <c r="C111" s="14">
        <v>1</v>
      </c>
      <c r="D111" s="15" t="s">
        <v>23</v>
      </c>
      <c r="E111" s="14">
        <v>2</v>
      </c>
      <c r="F111" s="16" t="s">
        <v>87</v>
      </c>
      <c r="G111" s="17">
        <v>22020000</v>
      </c>
      <c r="H111" s="18">
        <f t="shared" si="46"/>
        <v>1.5367465531437457E-3</v>
      </c>
      <c r="I111" s="19">
        <v>0</v>
      </c>
      <c r="J111" s="28">
        <f t="shared" si="42"/>
        <v>0</v>
      </c>
      <c r="K111" s="24">
        <v>0</v>
      </c>
      <c r="L111" s="20">
        <f t="shared" si="47"/>
        <v>0</v>
      </c>
      <c r="M111" s="30">
        <f t="shared" si="48"/>
        <v>0</v>
      </c>
      <c r="N111" s="29">
        <f t="shared" si="49"/>
        <v>0</v>
      </c>
      <c r="O111" s="22"/>
      <c r="P111" s="21">
        <f t="shared" si="43"/>
        <v>22020000</v>
      </c>
    </row>
    <row r="112" spans="1:16" s="3" customFormat="1" ht="27.75" customHeight="1">
      <c r="A112" s="14">
        <v>2</v>
      </c>
      <c r="B112" s="14">
        <v>8</v>
      </c>
      <c r="C112" s="14">
        <v>1</v>
      </c>
      <c r="D112" s="15" t="s">
        <v>23</v>
      </c>
      <c r="E112" s="14">
        <v>4</v>
      </c>
      <c r="F112" s="16" t="s">
        <v>68</v>
      </c>
      <c r="G112" s="17">
        <v>283392000</v>
      </c>
      <c r="H112" s="18">
        <f t="shared" si="46"/>
        <v>1.9777551280132259E-2</v>
      </c>
      <c r="I112" s="19">
        <v>0</v>
      </c>
      <c r="J112" s="28">
        <f t="shared" si="42"/>
        <v>0</v>
      </c>
      <c r="K112" s="21">
        <f>23400000+121500</f>
        <v>23521500</v>
      </c>
      <c r="L112" s="20">
        <f t="shared" si="47"/>
        <v>8.2999872967479664</v>
      </c>
      <c r="M112" s="21">
        <f t="shared" si="48"/>
        <v>23521500</v>
      </c>
      <c r="N112" s="20">
        <f t="shared" si="49"/>
        <v>8.2999872967479664</v>
      </c>
      <c r="O112" s="22"/>
      <c r="P112" s="21">
        <f t="shared" si="43"/>
        <v>259870500</v>
      </c>
    </row>
    <row r="113" spans="1:16" s="49" customFormat="1" ht="27.75" customHeight="1">
      <c r="A113" s="36">
        <v>2</v>
      </c>
      <c r="B113" s="36">
        <v>8</v>
      </c>
      <c r="C113" s="36">
        <v>3</v>
      </c>
      <c r="D113" s="37"/>
      <c r="E113" s="36"/>
      <c r="F113" s="38" t="s">
        <v>91</v>
      </c>
      <c r="G113" s="46">
        <f>G114</f>
        <v>2177844000</v>
      </c>
      <c r="H113" s="40">
        <f t="shared" si="46"/>
        <v>0.15198884015825556</v>
      </c>
      <c r="I113" s="46">
        <f>I114</f>
        <v>0</v>
      </c>
      <c r="J113" s="42">
        <f t="shared" si="42"/>
        <v>0</v>
      </c>
      <c r="K113" s="46">
        <f>K114</f>
        <v>0</v>
      </c>
      <c r="L113" s="109">
        <f t="shared" si="47"/>
        <v>0</v>
      </c>
      <c r="M113" s="39">
        <f t="shared" si="48"/>
        <v>0</v>
      </c>
      <c r="N113" s="43">
        <f t="shared" si="49"/>
        <v>0</v>
      </c>
      <c r="O113" s="44"/>
      <c r="P113" s="39">
        <f t="shared" si="43"/>
        <v>2177844000</v>
      </c>
    </row>
    <row r="114" spans="1:16" s="106" customFormat="1" ht="40.5" customHeight="1">
      <c r="A114" s="5">
        <v>2</v>
      </c>
      <c r="B114" s="5">
        <v>8</v>
      </c>
      <c r="C114" s="5">
        <v>3</v>
      </c>
      <c r="D114" s="6" t="s">
        <v>7</v>
      </c>
      <c r="E114" s="5"/>
      <c r="F114" s="7" t="s">
        <v>47</v>
      </c>
      <c r="G114" s="45">
        <f>G115</f>
        <v>2177844000</v>
      </c>
      <c r="H114" s="9">
        <f t="shared" si="46"/>
        <v>0.15198884015825556</v>
      </c>
      <c r="I114" s="45">
        <f>I115</f>
        <v>0</v>
      </c>
      <c r="J114" s="11">
        <f t="shared" si="42"/>
        <v>0</v>
      </c>
      <c r="K114" s="45">
        <f>K115</f>
        <v>0</v>
      </c>
      <c r="L114" s="108">
        <f t="shared" si="47"/>
        <v>0</v>
      </c>
      <c r="M114" s="8">
        <f t="shared" si="48"/>
        <v>0</v>
      </c>
      <c r="N114" s="12">
        <f t="shared" si="49"/>
        <v>0</v>
      </c>
      <c r="O114" s="13"/>
      <c r="P114" s="8">
        <f t="shared" si="43"/>
        <v>2177844000</v>
      </c>
    </row>
    <row r="115" spans="1:16" s="3" customFormat="1" ht="36" customHeight="1">
      <c r="A115" s="14">
        <v>2</v>
      </c>
      <c r="B115" s="14">
        <v>8</v>
      </c>
      <c r="C115" s="14">
        <v>3</v>
      </c>
      <c r="D115" s="15" t="s">
        <v>7</v>
      </c>
      <c r="E115" s="14">
        <v>2</v>
      </c>
      <c r="F115" s="16" t="s">
        <v>74</v>
      </c>
      <c r="G115" s="17">
        <v>2177844000</v>
      </c>
      <c r="H115" s="18">
        <f t="shared" si="46"/>
        <v>0.15198884015825556</v>
      </c>
      <c r="I115" s="19">
        <v>0</v>
      </c>
      <c r="J115" s="28">
        <f t="shared" si="42"/>
        <v>0</v>
      </c>
      <c r="K115" s="21">
        <v>0</v>
      </c>
      <c r="L115" s="20">
        <f t="shared" si="47"/>
        <v>0</v>
      </c>
      <c r="M115" s="30">
        <f t="shared" si="48"/>
        <v>0</v>
      </c>
      <c r="N115" s="29">
        <f t="shared" si="49"/>
        <v>0</v>
      </c>
      <c r="O115" s="22"/>
      <c r="P115" s="21">
        <f t="shared" si="43"/>
        <v>2177844000</v>
      </c>
    </row>
    <row r="116" spans="1:16" s="49" customFormat="1" ht="26.25" customHeight="1">
      <c r="A116" s="36">
        <v>2</v>
      </c>
      <c r="B116" s="36">
        <v>8</v>
      </c>
      <c r="C116" s="36">
        <v>7</v>
      </c>
      <c r="D116" s="37"/>
      <c r="E116" s="36"/>
      <c r="F116" s="38" t="s">
        <v>92</v>
      </c>
      <c r="G116" s="46">
        <f>G117</f>
        <v>182548000</v>
      </c>
      <c r="H116" s="40">
        <f t="shared" si="46"/>
        <v>1.2739782460639622E-2</v>
      </c>
      <c r="I116" s="46">
        <f>I117</f>
        <v>0</v>
      </c>
      <c r="J116" s="42">
        <f t="shared" si="42"/>
        <v>0</v>
      </c>
      <c r="K116" s="46">
        <f>K117</f>
        <v>0</v>
      </c>
      <c r="L116" s="109">
        <f t="shared" si="47"/>
        <v>0</v>
      </c>
      <c r="M116" s="39">
        <f t="shared" si="48"/>
        <v>0</v>
      </c>
      <c r="N116" s="43">
        <f t="shared" si="49"/>
        <v>0</v>
      </c>
      <c r="O116" s="44"/>
      <c r="P116" s="39">
        <f t="shared" si="43"/>
        <v>182548000</v>
      </c>
    </row>
    <row r="117" spans="1:16" s="106" customFormat="1" ht="40.5" customHeight="1">
      <c r="A117" s="5">
        <v>2</v>
      </c>
      <c r="B117" s="5">
        <v>8</v>
      </c>
      <c r="C117" s="5">
        <v>7</v>
      </c>
      <c r="D117" s="6" t="s">
        <v>7</v>
      </c>
      <c r="E117" s="5"/>
      <c r="F117" s="7" t="s">
        <v>1</v>
      </c>
      <c r="G117" s="45">
        <f>G118</f>
        <v>182548000</v>
      </c>
      <c r="H117" s="9">
        <f t="shared" si="46"/>
        <v>1.2739782460639622E-2</v>
      </c>
      <c r="I117" s="45">
        <f>I118</f>
        <v>0</v>
      </c>
      <c r="J117" s="11">
        <f t="shared" si="42"/>
        <v>0</v>
      </c>
      <c r="K117" s="45">
        <f>K118</f>
        <v>0</v>
      </c>
      <c r="L117" s="108">
        <f t="shared" si="47"/>
        <v>0</v>
      </c>
      <c r="M117" s="8">
        <f t="shared" si="48"/>
        <v>0</v>
      </c>
      <c r="N117" s="12">
        <f t="shared" si="49"/>
        <v>0</v>
      </c>
      <c r="O117" s="13"/>
      <c r="P117" s="8">
        <f t="shared" si="43"/>
        <v>182548000</v>
      </c>
    </row>
    <row r="118" spans="1:16" s="3" customFormat="1" ht="30" customHeight="1">
      <c r="A118" s="14">
        <v>2</v>
      </c>
      <c r="B118" s="14">
        <v>8</v>
      </c>
      <c r="C118" s="14">
        <v>7</v>
      </c>
      <c r="D118" s="15" t="s">
        <v>7</v>
      </c>
      <c r="E118" s="14">
        <v>7</v>
      </c>
      <c r="F118" s="166" t="s">
        <v>127</v>
      </c>
      <c r="G118" s="17">
        <v>182548000</v>
      </c>
      <c r="H118" s="18">
        <f t="shared" si="46"/>
        <v>1.2739782460639622E-2</v>
      </c>
      <c r="I118" s="19">
        <v>0</v>
      </c>
      <c r="J118" s="28">
        <f t="shared" si="42"/>
        <v>0</v>
      </c>
      <c r="K118" s="21">
        <v>0</v>
      </c>
      <c r="L118" s="20">
        <f t="shared" si="47"/>
        <v>0</v>
      </c>
      <c r="M118" s="30">
        <f t="shared" si="48"/>
        <v>0</v>
      </c>
      <c r="N118" s="29">
        <f t="shared" si="49"/>
        <v>0</v>
      </c>
      <c r="O118" s="22"/>
      <c r="P118" s="21">
        <f t="shared" si="43"/>
        <v>182548000</v>
      </c>
    </row>
    <row r="119" spans="1:16" s="58" customFormat="1" ht="22.5" customHeight="1">
      <c r="A119" s="50"/>
      <c r="B119" s="50"/>
      <c r="C119" s="50"/>
      <c r="D119" s="51"/>
      <c r="E119" s="52"/>
      <c r="F119" s="53" t="s">
        <v>48</v>
      </c>
      <c r="G119" s="54">
        <f>G16+G55+G61+G67+G72+G76+G83+G89+G95+G98+G105+G113+G116</f>
        <v>14328973086</v>
      </c>
      <c r="H119" s="114">
        <f t="shared" si="46"/>
        <v>1</v>
      </c>
      <c r="I119" s="54">
        <f>I16+I55+I61+I67+I72+I76+I83+I89+I95+I98+I105+I113+I116</f>
        <v>0</v>
      </c>
      <c r="J119" s="55">
        <f t="shared" si="42"/>
        <v>0</v>
      </c>
      <c r="K119" s="54">
        <f>K16+K55+K61+K67+K72+K76+K83+K89+K95+K98+K105+K113+K116</f>
        <v>326353300</v>
      </c>
      <c r="L119" s="56">
        <f t="shared" si="47"/>
        <v>2.2775763346143814</v>
      </c>
      <c r="M119" s="54">
        <f>M16+M55+M61+M67+M72+M76+M83+M89+M95+M98+M105+M113+M116</f>
        <v>326353300</v>
      </c>
      <c r="N119" s="56">
        <f t="shared" si="49"/>
        <v>2.2775763346143814</v>
      </c>
      <c r="O119" s="57"/>
      <c r="P119" s="116">
        <f>G119-M119</f>
        <v>14002619786</v>
      </c>
    </row>
    <row r="120" spans="1:16" s="4" customFormat="1" ht="18" customHeight="1">
      <c r="A120" s="118"/>
      <c r="B120" s="118"/>
      <c r="C120" s="118"/>
      <c r="D120" s="119"/>
      <c r="E120" s="120"/>
      <c r="F120" s="33" t="s">
        <v>95</v>
      </c>
      <c r="G120" s="128">
        <f>G16</f>
        <v>8750419236</v>
      </c>
      <c r="H120" s="122"/>
      <c r="I120" s="121"/>
      <c r="J120" s="123"/>
      <c r="K120" s="121"/>
      <c r="L120" s="124"/>
      <c r="M120" s="126"/>
      <c r="N120" s="124"/>
      <c r="O120" s="125"/>
      <c r="P120" s="126"/>
    </row>
    <row r="121" spans="1:16" s="4" customFormat="1" ht="15.75" customHeight="1">
      <c r="A121" s="118"/>
      <c r="B121" s="118"/>
      <c r="C121" s="118"/>
      <c r="D121" s="119"/>
      <c r="E121" s="120"/>
      <c r="F121" s="33" t="s">
        <v>96</v>
      </c>
      <c r="G121" s="128">
        <f>G76</f>
        <v>429820700</v>
      </c>
      <c r="H121" s="169" t="s">
        <v>132</v>
      </c>
      <c r="I121" s="170">
        <v>170000000</v>
      </c>
      <c r="J121" s="171"/>
      <c r="K121" s="121"/>
      <c r="L121" s="124"/>
      <c r="M121" s="126"/>
      <c r="N121" s="124"/>
      <c r="O121" s="125"/>
      <c r="P121" s="126"/>
    </row>
    <row r="122" spans="1:16" s="3" customFormat="1">
      <c r="A122" s="77"/>
      <c r="B122" s="78"/>
      <c r="C122" s="78"/>
      <c r="D122" s="31"/>
      <c r="E122" s="32"/>
      <c r="F122" s="127" t="s">
        <v>97</v>
      </c>
      <c r="G122" s="128">
        <f>G83</f>
        <v>690942900</v>
      </c>
      <c r="H122" s="172" t="s">
        <v>133</v>
      </c>
      <c r="I122" s="170">
        <v>326353300</v>
      </c>
      <c r="J122" s="174"/>
      <c r="K122" s="80"/>
      <c r="L122" s="80"/>
      <c r="M122" s="244" t="s">
        <v>140</v>
      </c>
      <c r="N122" s="244"/>
      <c r="O122" s="244"/>
      <c r="P122" s="80"/>
    </row>
    <row r="123" spans="1:16" s="3" customFormat="1" ht="17.25" customHeight="1">
      <c r="A123" s="32"/>
      <c r="B123" s="82"/>
      <c r="C123" s="78"/>
      <c r="D123" s="83"/>
      <c r="E123" s="80"/>
      <c r="F123" s="178" t="s">
        <v>98</v>
      </c>
      <c r="G123" s="155">
        <f>G61</f>
        <v>389086600</v>
      </c>
      <c r="H123" s="175" t="s">
        <v>134</v>
      </c>
      <c r="I123" s="173">
        <v>0</v>
      </c>
      <c r="J123" s="174"/>
      <c r="K123" s="80"/>
      <c r="L123" s="80"/>
      <c r="M123" s="250" t="s">
        <v>139</v>
      </c>
      <c r="N123" s="250"/>
      <c r="O123" s="250"/>
      <c r="P123" s="85" t="s">
        <v>0</v>
      </c>
    </row>
    <row r="124" spans="1:16" s="3" customFormat="1" ht="18" customHeight="1">
      <c r="A124" s="32"/>
      <c r="B124" s="82"/>
      <c r="C124" s="78"/>
      <c r="D124" s="83"/>
      <c r="E124" s="32"/>
      <c r="F124" s="179" t="s">
        <v>99</v>
      </c>
      <c r="G124" s="154">
        <f>G54</f>
        <v>637720000</v>
      </c>
      <c r="H124" s="176"/>
      <c r="I124" s="174"/>
      <c r="J124" s="174"/>
      <c r="K124" s="80"/>
      <c r="L124" s="80"/>
      <c r="M124" s="251"/>
      <c r="N124" s="251"/>
      <c r="O124" s="251"/>
      <c r="P124" s="87"/>
    </row>
    <row r="125" spans="1:16" s="3" customFormat="1">
      <c r="A125" s="1"/>
      <c r="B125" s="88"/>
      <c r="C125" s="89"/>
      <c r="D125" s="90"/>
      <c r="E125" s="1"/>
      <c r="F125" s="180" t="s">
        <v>100</v>
      </c>
      <c r="G125" s="156">
        <f>G89+G95+G98</f>
        <v>753381950</v>
      </c>
      <c r="H125" s="91"/>
      <c r="I125" s="1"/>
      <c r="M125" s="246"/>
      <c r="N125" s="246"/>
      <c r="O125" s="246"/>
    </row>
    <row r="126" spans="1:16" s="3" customFormat="1">
      <c r="A126" s="1"/>
      <c r="B126" s="88"/>
      <c r="C126" s="89"/>
      <c r="D126" s="90"/>
      <c r="E126" s="1"/>
      <c r="F126" s="180" t="s">
        <v>101</v>
      </c>
      <c r="G126" s="157">
        <f>G105+G113+G116</f>
        <v>2677601700</v>
      </c>
      <c r="H126" s="91"/>
      <c r="I126" s="1"/>
      <c r="M126" s="245" t="s">
        <v>136</v>
      </c>
      <c r="N126" s="245"/>
      <c r="O126" s="245"/>
    </row>
    <row r="127" spans="1:16" s="3" customFormat="1" ht="15" customHeight="1">
      <c r="A127" s="1"/>
      <c r="B127" s="88"/>
      <c r="C127" s="89"/>
      <c r="D127" s="90"/>
      <c r="E127" s="1"/>
      <c r="F127" s="181" t="s">
        <v>102</v>
      </c>
      <c r="G127" s="158">
        <f>SUM(G120:G126)</f>
        <v>14328973086</v>
      </c>
      <c r="H127" s="91"/>
      <c r="I127" s="1"/>
      <c r="M127" s="242" t="s">
        <v>137</v>
      </c>
      <c r="N127" s="242"/>
      <c r="O127" s="242"/>
    </row>
    <row r="128" spans="1:16" s="3" customFormat="1" ht="15" customHeight="1">
      <c r="A128" s="1" t="s">
        <v>0</v>
      </c>
      <c r="B128" s="88"/>
      <c r="C128" s="89"/>
      <c r="D128" s="90"/>
      <c r="E128" s="1"/>
      <c r="F128" s="1"/>
      <c r="G128" s="158"/>
      <c r="H128" s="91"/>
      <c r="M128" s="242" t="s">
        <v>138</v>
      </c>
      <c r="N128" s="242"/>
      <c r="O128" s="242"/>
    </row>
    <row r="129" spans="1:8">
      <c r="A129" s="93"/>
      <c r="B129" s="94"/>
      <c r="C129" s="95"/>
      <c r="D129" s="96"/>
      <c r="E129" s="93"/>
      <c r="F129" s="93"/>
      <c r="G129" s="159"/>
      <c r="H129" s="98"/>
    </row>
    <row r="130" spans="1:8">
      <c r="A130" s="93"/>
      <c r="B130" s="94"/>
      <c r="C130" s="95"/>
      <c r="D130" s="96"/>
      <c r="E130" s="93"/>
      <c r="F130" s="93"/>
      <c r="G130" s="97"/>
      <c r="H130" s="98"/>
    </row>
    <row r="131" spans="1:8">
      <c r="A131" s="93"/>
      <c r="B131" s="94"/>
      <c r="C131" s="95"/>
      <c r="D131" s="96"/>
      <c r="E131" s="93"/>
      <c r="F131" s="93"/>
      <c r="G131" s="97"/>
      <c r="H131" s="98"/>
    </row>
  </sheetData>
  <mergeCells count="33">
    <mergeCell ref="A1:P1"/>
    <mergeCell ref="A2:P2"/>
    <mergeCell ref="A3:P3"/>
    <mergeCell ref="A5:E5"/>
    <mergeCell ref="A6:E6"/>
    <mergeCell ref="F6:P6"/>
    <mergeCell ref="A7:E7"/>
    <mergeCell ref="A8:E8"/>
    <mergeCell ref="A10:E10"/>
    <mergeCell ref="F10:F13"/>
    <mergeCell ref="G10:G13"/>
    <mergeCell ref="A14:E14"/>
    <mergeCell ref="M123:O123"/>
    <mergeCell ref="M124:O124"/>
    <mergeCell ref="I10:O10"/>
    <mergeCell ref="P10:P13"/>
    <mergeCell ref="A11:A13"/>
    <mergeCell ref="B11:B13"/>
    <mergeCell ref="C11:C13"/>
    <mergeCell ref="D11:D13"/>
    <mergeCell ref="E11:E13"/>
    <mergeCell ref="I11:J11"/>
    <mergeCell ref="K11:L11"/>
    <mergeCell ref="M11:O11"/>
    <mergeCell ref="H10:H13"/>
    <mergeCell ref="M127:O127"/>
    <mergeCell ref="M128:O128"/>
    <mergeCell ref="I12:J12"/>
    <mergeCell ref="K12:L12"/>
    <mergeCell ref="M12:N12"/>
    <mergeCell ref="M122:O122"/>
    <mergeCell ref="M126:O126"/>
    <mergeCell ref="M125:O125"/>
  </mergeCells>
  <pageMargins left="0.7" right="0.7" top="0.75" bottom="0.75" header="0.3" footer="0.3"/>
  <pageSetup paperSize="5" scale="22" orientation="landscape" horizontalDpi="4294967292" verticalDpi="4294967295" r:id="rId1"/>
  <rowBreaks count="1" manualBreakCount="1">
    <brk id="130" max="17" man="1"/>
  </rowBreaks>
</worksheet>
</file>

<file path=xl/worksheets/sheet10.xml><?xml version="1.0" encoding="utf-8"?>
<worksheet xmlns="http://schemas.openxmlformats.org/spreadsheetml/2006/main" xmlns:r="http://schemas.openxmlformats.org/officeDocument/2006/relationships">
  <dimension ref="A1:T45"/>
  <sheetViews>
    <sheetView showGridLines="0" view="pageBreakPreview" topLeftCell="F2" zoomScaleNormal="100" zoomScaleSheetLayoutView="100" workbookViewId="0">
      <selection activeCell="F9" sqref="F9"/>
    </sheetView>
  </sheetViews>
  <sheetFormatPr defaultColWidth="9.140625" defaultRowHeight="15"/>
  <cols>
    <col min="1" max="1" width="3.5703125" style="64" customWidth="1"/>
    <col min="2" max="2" width="3.85546875" style="100" customWidth="1"/>
    <col min="3" max="3" width="3.7109375" style="100" customWidth="1"/>
    <col min="4" max="4" width="4.140625" style="101" customWidth="1"/>
    <col min="5" max="5" width="3.140625" style="99" customWidth="1"/>
    <col min="6" max="6" width="68.140625" style="99" customWidth="1"/>
    <col min="7" max="7" width="14.42578125" style="102" customWidth="1"/>
    <col min="8" max="8" width="10" style="63" customWidth="1"/>
    <col min="9" max="9" width="14" style="64" customWidth="1"/>
    <col min="10" max="10" width="7.7109375" style="64" customWidth="1"/>
    <col min="11" max="11" width="12.28515625" style="64" customWidth="1"/>
    <col min="12" max="12" width="8.140625" style="64" customWidth="1"/>
    <col min="13" max="13" width="14.28515625" style="64" customWidth="1"/>
    <col min="14" max="14" width="7.42578125" style="64" customWidth="1"/>
    <col min="15" max="15" width="7.85546875" style="64" customWidth="1"/>
    <col min="16" max="16" width="15.14062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161</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160"/>
      <c r="B4" s="60"/>
      <c r="C4" s="60"/>
      <c r="D4" s="61"/>
      <c r="E4" s="60"/>
      <c r="F4" s="60"/>
      <c r="G4" s="62"/>
    </row>
    <row r="5" spans="1:17" ht="15" customHeight="1">
      <c r="A5" s="257" t="s">
        <v>42</v>
      </c>
      <c r="B5" s="257"/>
      <c r="C5" s="257"/>
      <c r="D5" s="257"/>
      <c r="E5" s="257"/>
      <c r="F5" s="65" t="s">
        <v>44</v>
      </c>
      <c r="G5" s="66"/>
      <c r="H5" s="66"/>
      <c r="I5" s="66"/>
      <c r="J5" s="66"/>
      <c r="K5" s="66"/>
      <c r="L5" s="66"/>
      <c r="M5" s="66"/>
      <c r="N5" s="66"/>
      <c r="O5" s="66"/>
      <c r="P5" s="66"/>
    </row>
    <row r="6" spans="1:17" ht="15" customHeight="1">
      <c r="A6" s="267" t="s">
        <v>162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184" t="s">
        <v>45</v>
      </c>
      <c r="G7" s="68"/>
      <c r="H7" s="69"/>
      <c r="I7" s="70"/>
      <c r="J7" s="70"/>
      <c r="K7" s="70"/>
      <c r="L7" s="70"/>
      <c r="M7" s="70"/>
      <c r="N7" s="70"/>
      <c r="O7" s="70"/>
      <c r="P7" s="70"/>
    </row>
    <row r="8" spans="1:17" ht="15" customHeight="1">
      <c r="A8" s="257" t="s">
        <v>40</v>
      </c>
      <c r="B8" s="257"/>
      <c r="C8" s="257"/>
      <c r="D8" s="257"/>
      <c r="E8" s="257"/>
      <c r="F8" s="196" t="s">
        <v>180</v>
      </c>
      <c r="G8" s="68"/>
      <c r="H8" s="69"/>
      <c r="I8" s="70"/>
      <c r="J8" s="70"/>
      <c r="K8" s="70"/>
      <c r="L8" s="70"/>
      <c r="M8" s="70"/>
      <c r="N8" s="70"/>
      <c r="O8" s="70"/>
      <c r="P8" s="70"/>
    </row>
    <row r="9" spans="1:17" ht="15" customHeight="1">
      <c r="A9" s="160"/>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33</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186" t="s">
        <v>30</v>
      </c>
      <c r="P12" s="252"/>
      <c r="Q12" s="74"/>
    </row>
    <row r="13" spans="1:17" ht="15" customHeight="1">
      <c r="A13" s="255"/>
      <c r="B13" s="255"/>
      <c r="C13" s="255"/>
      <c r="D13" s="255"/>
      <c r="E13" s="255"/>
      <c r="F13" s="263"/>
      <c r="G13" s="252"/>
      <c r="H13" s="256"/>
      <c r="I13" s="186" t="s">
        <v>29</v>
      </c>
      <c r="J13" s="186" t="s">
        <v>28</v>
      </c>
      <c r="K13" s="186" t="s">
        <v>29</v>
      </c>
      <c r="L13" s="186" t="s">
        <v>28</v>
      </c>
      <c r="M13" s="186" t="s">
        <v>29</v>
      </c>
      <c r="N13" s="186" t="s">
        <v>28</v>
      </c>
      <c r="O13" s="186" t="s">
        <v>28</v>
      </c>
      <c r="P13" s="252"/>
      <c r="Q13" s="74"/>
    </row>
    <row r="14" spans="1:17" s="75" customFormat="1" ht="17.25" customHeight="1">
      <c r="A14" s="270">
        <v>1</v>
      </c>
      <c r="B14" s="271"/>
      <c r="C14" s="271"/>
      <c r="D14" s="271"/>
      <c r="E14" s="272"/>
      <c r="F14" s="185">
        <v>2</v>
      </c>
      <c r="G14" s="50">
        <v>3</v>
      </c>
      <c r="H14" s="194">
        <v>4</v>
      </c>
      <c r="I14" s="186">
        <v>5</v>
      </c>
      <c r="J14" s="186">
        <v>6</v>
      </c>
      <c r="K14" s="186">
        <v>8</v>
      </c>
      <c r="L14" s="186">
        <v>9</v>
      </c>
      <c r="M14" s="186">
        <v>11</v>
      </c>
      <c r="N14" s="186">
        <v>12</v>
      </c>
      <c r="O14" s="186">
        <v>13</v>
      </c>
      <c r="P14" s="186">
        <v>14</v>
      </c>
    </row>
    <row r="15" spans="1:17" s="49" customFormat="1" ht="23.25" customHeight="1">
      <c r="A15" s="36">
        <v>2</v>
      </c>
      <c r="B15" s="36">
        <v>8</v>
      </c>
      <c r="C15" s="36">
        <v>3</v>
      </c>
      <c r="D15" s="37"/>
      <c r="E15" s="36"/>
      <c r="F15" s="38" t="s">
        <v>85</v>
      </c>
      <c r="G15" s="47">
        <f>G16+G18</f>
        <v>69000000</v>
      </c>
      <c r="H15" s="40">
        <f t="shared" ref="H15:H34" si="0">+G15/$G$34*100%</f>
        <v>2.6053053077998309E-2</v>
      </c>
      <c r="I15" s="41">
        <f>'Januari DAK'!M15</f>
        <v>0</v>
      </c>
      <c r="J15" s="42">
        <f>'Januari DAK'!N15</f>
        <v>0</v>
      </c>
      <c r="K15" s="47">
        <f>K16+K18</f>
        <v>0</v>
      </c>
      <c r="L15" s="109">
        <f t="shared" ref="L15:L34" si="1">K15/G15*100</f>
        <v>0</v>
      </c>
      <c r="M15" s="39">
        <f>I15+K15</f>
        <v>0</v>
      </c>
      <c r="N15" s="43">
        <f t="shared" ref="N15:N34" si="2">M15/G15*100</f>
        <v>0</v>
      </c>
      <c r="O15" s="44"/>
      <c r="P15" s="39">
        <f t="shared" ref="P15:P34" si="3">G15-M15</f>
        <v>69000000</v>
      </c>
    </row>
    <row r="16" spans="1:17" s="106" customFormat="1" ht="36" customHeight="1">
      <c r="A16" s="5">
        <v>2</v>
      </c>
      <c r="B16" s="5">
        <v>8</v>
      </c>
      <c r="C16" s="5">
        <v>3</v>
      </c>
      <c r="D16" s="6" t="s">
        <v>8</v>
      </c>
      <c r="E16" s="5"/>
      <c r="F16" s="7" t="s">
        <v>164</v>
      </c>
      <c r="G16" s="45">
        <f>G17</f>
        <v>48500000</v>
      </c>
      <c r="H16" s="9">
        <f t="shared" si="0"/>
        <v>1.8312653250477071E-2</v>
      </c>
      <c r="I16" s="10">
        <f>'Januari DAK'!M16</f>
        <v>0</v>
      </c>
      <c r="J16" s="11">
        <f>'Januari DAK'!N16</f>
        <v>0</v>
      </c>
      <c r="K16" s="45">
        <f>K17</f>
        <v>0</v>
      </c>
      <c r="L16" s="108">
        <f t="shared" si="1"/>
        <v>0</v>
      </c>
      <c r="M16" s="8">
        <f t="shared" ref="M16:M33" si="4">I16+K16</f>
        <v>0</v>
      </c>
      <c r="N16" s="12">
        <f t="shared" si="2"/>
        <v>0</v>
      </c>
      <c r="O16" s="13"/>
      <c r="P16" s="8">
        <f t="shared" si="3"/>
        <v>48500000</v>
      </c>
    </row>
    <row r="17" spans="1:16" s="3" customFormat="1" ht="38.25" customHeight="1">
      <c r="A17" s="14">
        <v>2</v>
      </c>
      <c r="B17" s="14">
        <v>8</v>
      </c>
      <c r="C17" s="14">
        <v>3</v>
      </c>
      <c r="D17" s="15" t="s">
        <v>8</v>
      </c>
      <c r="E17" s="14">
        <v>1</v>
      </c>
      <c r="F17" s="16" t="s">
        <v>165</v>
      </c>
      <c r="G17" s="17">
        <v>48500000</v>
      </c>
      <c r="H17" s="18">
        <f t="shared" si="0"/>
        <v>1.8312653250477071E-2</v>
      </c>
      <c r="I17" s="192">
        <f>'Januari DAK'!M17</f>
        <v>0</v>
      </c>
      <c r="J17" s="28">
        <f>'Januari DAK'!N17</f>
        <v>0</v>
      </c>
      <c r="K17" s="21">
        <v>0</v>
      </c>
      <c r="L17" s="20">
        <f t="shared" si="1"/>
        <v>0</v>
      </c>
      <c r="M17" s="30">
        <f t="shared" si="4"/>
        <v>0</v>
      </c>
      <c r="N17" s="29">
        <f t="shared" si="2"/>
        <v>0</v>
      </c>
      <c r="O17" s="22"/>
      <c r="P17" s="21">
        <f t="shared" si="3"/>
        <v>48500000</v>
      </c>
    </row>
    <row r="18" spans="1:16" s="106" customFormat="1" ht="36" customHeight="1">
      <c r="A18" s="5">
        <v>2</v>
      </c>
      <c r="B18" s="5">
        <v>8</v>
      </c>
      <c r="C18" s="5">
        <v>3</v>
      </c>
      <c r="D18" s="6" t="s">
        <v>14</v>
      </c>
      <c r="E18" s="5"/>
      <c r="F18" s="7" t="s">
        <v>166</v>
      </c>
      <c r="G18" s="45">
        <f>G19</f>
        <v>20500000</v>
      </c>
      <c r="H18" s="9">
        <f t="shared" si="0"/>
        <v>7.7403998275212367E-3</v>
      </c>
      <c r="I18" s="10">
        <f>'Januari DAK'!M18</f>
        <v>0</v>
      </c>
      <c r="J18" s="11">
        <f>'Januari DAK'!N18</f>
        <v>0</v>
      </c>
      <c r="K18" s="45">
        <f>K19</f>
        <v>0</v>
      </c>
      <c r="L18" s="108">
        <f t="shared" si="1"/>
        <v>0</v>
      </c>
      <c r="M18" s="8">
        <f t="shared" si="4"/>
        <v>0</v>
      </c>
      <c r="N18" s="12">
        <f t="shared" si="2"/>
        <v>0</v>
      </c>
      <c r="O18" s="13"/>
      <c r="P18" s="8">
        <f t="shared" si="3"/>
        <v>20500000</v>
      </c>
    </row>
    <row r="19" spans="1:16" s="3" customFormat="1" ht="37.5" customHeight="1">
      <c r="A19" s="14">
        <v>2</v>
      </c>
      <c r="B19" s="14">
        <v>8</v>
      </c>
      <c r="C19" s="14">
        <v>3</v>
      </c>
      <c r="D19" s="15" t="s">
        <v>14</v>
      </c>
      <c r="E19" s="14">
        <v>2</v>
      </c>
      <c r="F19" s="16" t="s">
        <v>167</v>
      </c>
      <c r="G19" s="17">
        <f>20500000</f>
        <v>20500000</v>
      </c>
      <c r="H19" s="18">
        <f t="shared" si="0"/>
        <v>7.7403998275212367E-3</v>
      </c>
      <c r="I19" s="192">
        <f>'Januari DAK'!M19</f>
        <v>0</v>
      </c>
      <c r="J19" s="28">
        <f>'Januari DAK'!N19</f>
        <v>0</v>
      </c>
      <c r="K19" s="21">
        <v>0</v>
      </c>
      <c r="L19" s="20">
        <f t="shared" si="1"/>
        <v>0</v>
      </c>
      <c r="M19" s="30">
        <f t="shared" si="4"/>
        <v>0</v>
      </c>
      <c r="N19" s="29">
        <f t="shared" si="2"/>
        <v>0</v>
      </c>
      <c r="O19" s="22"/>
      <c r="P19" s="21">
        <f t="shared" si="3"/>
        <v>20500000</v>
      </c>
    </row>
    <row r="20" spans="1:16" s="49" customFormat="1" ht="23.25" customHeight="1">
      <c r="A20" s="36">
        <v>2</v>
      </c>
      <c r="B20" s="36">
        <v>8</v>
      </c>
      <c r="C20" s="36">
        <v>7</v>
      </c>
      <c r="D20" s="37"/>
      <c r="E20" s="36"/>
      <c r="F20" s="38" t="s">
        <v>109</v>
      </c>
      <c r="G20" s="47">
        <f>G21+G23</f>
        <v>101520000</v>
      </c>
      <c r="H20" s="40">
        <f t="shared" si="0"/>
        <v>3.8331970267802731E-2</v>
      </c>
      <c r="I20" s="41">
        <f>'Januari DAK'!M20</f>
        <v>0</v>
      </c>
      <c r="J20" s="42">
        <f>'Januari DAK'!N20</f>
        <v>0</v>
      </c>
      <c r="K20" s="47">
        <f>K21+K28</f>
        <v>0</v>
      </c>
      <c r="L20" s="109">
        <f t="shared" si="1"/>
        <v>0</v>
      </c>
      <c r="M20" s="39">
        <f t="shared" si="4"/>
        <v>0</v>
      </c>
      <c r="N20" s="43">
        <f t="shared" si="2"/>
        <v>0</v>
      </c>
      <c r="O20" s="44"/>
      <c r="P20" s="39">
        <f t="shared" si="3"/>
        <v>101520000</v>
      </c>
    </row>
    <row r="21" spans="1:16" s="106" customFormat="1" ht="34.5" customHeight="1">
      <c r="A21" s="5">
        <v>2</v>
      </c>
      <c r="B21" s="5">
        <v>8</v>
      </c>
      <c r="C21" s="5">
        <v>7</v>
      </c>
      <c r="D21" s="6" t="s">
        <v>8</v>
      </c>
      <c r="E21" s="5"/>
      <c r="F21" s="7" t="s">
        <v>168</v>
      </c>
      <c r="G21" s="45">
        <f>G22</f>
        <v>53000000</v>
      </c>
      <c r="H21" s="9">
        <f t="shared" si="0"/>
        <v>2.0011765407737834E-2</v>
      </c>
      <c r="I21" s="10">
        <f>'Januari DAK'!M21</f>
        <v>0</v>
      </c>
      <c r="J21" s="11">
        <f>'Januari DAK'!N21</f>
        <v>0</v>
      </c>
      <c r="K21" s="45">
        <f>K22</f>
        <v>0</v>
      </c>
      <c r="L21" s="108">
        <f t="shared" si="1"/>
        <v>0</v>
      </c>
      <c r="M21" s="8">
        <f t="shared" si="4"/>
        <v>0</v>
      </c>
      <c r="N21" s="12">
        <f t="shared" si="2"/>
        <v>0</v>
      </c>
      <c r="O21" s="13"/>
      <c r="P21" s="8">
        <f t="shared" si="3"/>
        <v>53000000</v>
      </c>
    </row>
    <row r="22" spans="1:16" s="3" customFormat="1" ht="36.75" customHeight="1">
      <c r="A22" s="14">
        <v>2</v>
      </c>
      <c r="B22" s="14">
        <v>8</v>
      </c>
      <c r="C22" s="14">
        <v>7</v>
      </c>
      <c r="D22" s="15" t="s">
        <v>8</v>
      </c>
      <c r="E22" s="14">
        <v>2</v>
      </c>
      <c r="F22" s="16" t="s">
        <v>169</v>
      </c>
      <c r="G22" s="17">
        <f>53000000</f>
        <v>53000000</v>
      </c>
      <c r="H22" s="18">
        <f t="shared" si="0"/>
        <v>2.0011765407737834E-2</v>
      </c>
      <c r="I22" s="192">
        <f>'Januari DAK'!M22</f>
        <v>0</v>
      </c>
      <c r="J22" s="28">
        <f>'Januari DAK'!N22</f>
        <v>0</v>
      </c>
      <c r="K22" s="21">
        <v>0</v>
      </c>
      <c r="L22" s="20">
        <f t="shared" si="1"/>
        <v>0</v>
      </c>
      <c r="M22" s="30">
        <f t="shared" si="4"/>
        <v>0</v>
      </c>
      <c r="N22" s="29">
        <f t="shared" si="2"/>
        <v>0</v>
      </c>
      <c r="O22" s="22"/>
      <c r="P22" s="21">
        <f t="shared" si="3"/>
        <v>53000000</v>
      </c>
    </row>
    <row r="23" spans="1:16" s="106" customFormat="1" ht="48.75" customHeight="1">
      <c r="A23" s="5">
        <v>2</v>
      </c>
      <c r="B23" s="5">
        <v>8</v>
      </c>
      <c r="C23" s="5">
        <v>7</v>
      </c>
      <c r="D23" s="6" t="s">
        <v>14</v>
      </c>
      <c r="E23" s="5"/>
      <c r="F23" s="7" t="s">
        <v>170</v>
      </c>
      <c r="G23" s="45">
        <f>G24</f>
        <v>48520000</v>
      </c>
      <c r="H23" s="9">
        <f t="shared" si="0"/>
        <v>1.8320204860064897E-2</v>
      </c>
      <c r="I23" s="10">
        <f>'Januari DAK'!M23</f>
        <v>0</v>
      </c>
      <c r="J23" s="11">
        <f>'Januari DAK'!N23</f>
        <v>0</v>
      </c>
      <c r="K23" s="45">
        <f>K24</f>
        <v>0</v>
      </c>
      <c r="L23" s="108">
        <f t="shared" si="1"/>
        <v>0</v>
      </c>
      <c r="M23" s="8">
        <f t="shared" si="4"/>
        <v>0</v>
      </c>
      <c r="N23" s="12">
        <f t="shared" si="2"/>
        <v>0</v>
      </c>
      <c r="O23" s="13"/>
      <c r="P23" s="8">
        <f t="shared" si="3"/>
        <v>48520000</v>
      </c>
    </row>
    <row r="24" spans="1:16" s="3" customFormat="1" ht="40.5" customHeight="1">
      <c r="A24" s="14">
        <v>2</v>
      </c>
      <c r="B24" s="14">
        <v>8</v>
      </c>
      <c r="C24" s="14">
        <v>7</v>
      </c>
      <c r="D24" s="15" t="s">
        <v>14</v>
      </c>
      <c r="E24" s="14">
        <v>8</v>
      </c>
      <c r="F24" s="191" t="s">
        <v>171</v>
      </c>
      <c r="G24" s="17">
        <f>48520000</f>
        <v>48520000</v>
      </c>
      <c r="H24" s="18">
        <f t="shared" si="0"/>
        <v>1.8320204860064897E-2</v>
      </c>
      <c r="I24" s="192">
        <f>'Januari DAK'!M24</f>
        <v>0</v>
      </c>
      <c r="J24" s="28">
        <f>'Januari DAK'!N24</f>
        <v>0</v>
      </c>
      <c r="K24" s="21">
        <v>0</v>
      </c>
      <c r="L24" s="20">
        <f t="shared" si="1"/>
        <v>0</v>
      </c>
      <c r="M24" s="30">
        <f t="shared" si="4"/>
        <v>0</v>
      </c>
      <c r="N24" s="29">
        <f t="shared" si="2"/>
        <v>0</v>
      </c>
      <c r="O24" s="22"/>
      <c r="P24" s="21">
        <f t="shared" si="3"/>
        <v>48520000</v>
      </c>
    </row>
    <row r="25" spans="1:16" s="3" customFormat="1" ht="28.5" customHeight="1">
      <c r="A25" s="36">
        <v>2</v>
      </c>
      <c r="B25" s="36">
        <v>14</v>
      </c>
      <c r="C25" s="36">
        <v>4</v>
      </c>
      <c r="D25" s="37"/>
      <c r="E25" s="36"/>
      <c r="F25" s="193" t="s">
        <v>9</v>
      </c>
      <c r="G25" s="47">
        <f>G26</f>
        <v>200000000</v>
      </c>
      <c r="H25" s="40">
        <f t="shared" si="0"/>
        <v>7.5516095878255973E-2</v>
      </c>
      <c r="I25" s="41">
        <f>'Januari DAK'!M25</f>
        <v>0</v>
      </c>
      <c r="J25" s="42">
        <f>'Januari DAK'!N25</f>
        <v>0</v>
      </c>
      <c r="K25" s="47">
        <f>K26+K33</f>
        <v>0</v>
      </c>
      <c r="L25" s="109">
        <f t="shared" si="1"/>
        <v>0</v>
      </c>
      <c r="M25" s="39">
        <f t="shared" si="4"/>
        <v>0</v>
      </c>
      <c r="N25" s="43">
        <f t="shared" si="2"/>
        <v>0</v>
      </c>
      <c r="O25" s="44"/>
      <c r="P25" s="39">
        <f t="shared" si="3"/>
        <v>200000000</v>
      </c>
    </row>
    <row r="26" spans="1:16" s="3" customFormat="1" ht="36.75" customHeight="1">
      <c r="A26" s="5">
        <v>2</v>
      </c>
      <c r="B26" s="5">
        <v>14</v>
      </c>
      <c r="C26" s="5">
        <v>4</v>
      </c>
      <c r="D26" s="6" t="s">
        <v>8</v>
      </c>
      <c r="E26" s="5"/>
      <c r="F26" s="167" t="s">
        <v>172</v>
      </c>
      <c r="G26" s="45">
        <f>G27</f>
        <v>200000000</v>
      </c>
      <c r="H26" s="9">
        <f t="shared" si="0"/>
        <v>7.5516095878255973E-2</v>
      </c>
      <c r="I26" s="10">
        <f>'Januari DAK'!M26</f>
        <v>0</v>
      </c>
      <c r="J26" s="11">
        <f>'Januari DAK'!N26</f>
        <v>0</v>
      </c>
      <c r="K26" s="45">
        <f>K28</f>
        <v>0</v>
      </c>
      <c r="L26" s="108">
        <f t="shared" si="1"/>
        <v>0</v>
      </c>
      <c r="M26" s="8">
        <f t="shared" si="4"/>
        <v>0</v>
      </c>
      <c r="N26" s="12">
        <f t="shared" si="2"/>
        <v>0</v>
      </c>
      <c r="O26" s="13"/>
      <c r="P26" s="8">
        <f t="shared" si="3"/>
        <v>200000000</v>
      </c>
    </row>
    <row r="27" spans="1:16" s="3" customFormat="1" ht="37.5" customHeight="1">
      <c r="A27" s="14">
        <v>2</v>
      </c>
      <c r="B27" s="14">
        <v>14</v>
      </c>
      <c r="C27" s="14">
        <v>4</v>
      </c>
      <c r="D27" s="15" t="s">
        <v>8</v>
      </c>
      <c r="E27" s="14">
        <v>17</v>
      </c>
      <c r="F27" s="166" t="s">
        <v>163</v>
      </c>
      <c r="G27" s="17">
        <v>200000000</v>
      </c>
      <c r="H27" s="18">
        <f t="shared" si="0"/>
        <v>7.5516095878255973E-2</v>
      </c>
      <c r="I27" s="192">
        <f>'Januari DAK'!M27</f>
        <v>0</v>
      </c>
      <c r="J27" s="28">
        <f>'Januari DAK'!N27</f>
        <v>0</v>
      </c>
      <c r="K27" s="164"/>
      <c r="L27" s="20"/>
      <c r="M27" s="30">
        <f>I27+K27</f>
        <v>0</v>
      </c>
      <c r="N27" s="29"/>
      <c r="O27" s="165"/>
      <c r="P27" s="21">
        <f>G27-M27</f>
        <v>200000000</v>
      </c>
    </row>
    <row r="28" spans="1:16" s="49" customFormat="1" ht="23.25" customHeight="1">
      <c r="A28" s="36">
        <v>2</v>
      </c>
      <c r="B28" s="36">
        <v>8</v>
      </c>
      <c r="C28" s="36">
        <v>3</v>
      </c>
      <c r="D28" s="37"/>
      <c r="E28" s="36"/>
      <c r="F28" s="38" t="s">
        <v>83</v>
      </c>
      <c r="G28" s="46">
        <f>G29</f>
        <v>2095374000</v>
      </c>
      <c r="H28" s="40">
        <f t="shared" si="0"/>
        <v>0.79117231942402366</v>
      </c>
      <c r="I28" s="41">
        <f>'Januari DAK'!M28</f>
        <v>0</v>
      </c>
      <c r="J28" s="42">
        <f>'Januari DAK'!N28</f>
        <v>0</v>
      </c>
      <c r="K28" s="46">
        <f>K29</f>
        <v>0</v>
      </c>
      <c r="L28" s="109">
        <f t="shared" si="1"/>
        <v>0</v>
      </c>
      <c r="M28" s="39">
        <f t="shared" si="4"/>
        <v>0</v>
      </c>
      <c r="N28" s="43">
        <f t="shared" si="2"/>
        <v>0</v>
      </c>
      <c r="O28" s="44"/>
      <c r="P28" s="39">
        <f t="shared" si="3"/>
        <v>2095374000</v>
      </c>
    </row>
    <row r="29" spans="1:16" s="106" customFormat="1" ht="51" customHeight="1">
      <c r="A29" s="5">
        <v>2</v>
      </c>
      <c r="B29" s="5">
        <v>8</v>
      </c>
      <c r="C29" s="5">
        <v>3</v>
      </c>
      <c r="D29" s="6" t="s">
        <v>7</v>
      </c>
      <c r="E29" s="5"/>
      <c r="F29" s="7" t="s">
        <v>176</v>
      </c>
      <c r="G29" s="45">
        <f>G30</f>
        <v>2095374000</v>
      </c>
      <c r="H29" s="9">
        <f t="shared" si="0"/>
        <v>0.79117231942402366</v>
      </c>
      <c r="I29" s="10">
        <f>'Januari DAK'!M29</f>
        <v>0</v>
      </c>
      <c r="J29" s="11">
        <f>'Januari DAK'!N29</f>
        <v>0</v>
      </c>
      <c r="K29" s="45">
        <f>K30</f>
        <v>0</v>
      </c>
      <c r="L29" s="108">
        <f t="shared" si="1"/>
        <v>0</v>
      </c>
      <c r="M29" s="8">
        <f t="shared" si="4"/>
        <v>0</v>
      </c>
      <c r="N29" s="12">
        <f t="shared" si="2"/>
        <v>0</v>
      </c>
      <c r="O29" s="13"/>
      <c r="P29" s="8">
        <f t="shared" si="3"/>
        <v>2095374000</v>
      </c>
    </row>
    <row r="30" spans="1:16" s="3" customFormat="1" ht="39.75" customHeight="1">
      <c r="A30" s="14">
        <v>2</v>
      </c>
      <c r="B30" s="14">
        <v>8</v>
      </c>
      <c r="C30" s="14">
        <v>3</v>
      </c>
      <c r="D30" s="15" t="s">
        <v>7</v>
      </c>
      <c r="E30" s="14">
        <v>2</v>
      </c>
      <c r="F30" s="16" t="s">
        <v>177</v>
      </c>
      <c r="G30" s="17">
        <v>2095374000</v>
      </c>
      <c r="H30" s="18">
        <f t="shared" si="0"/>
        <v>0.79117231942402366</v>
      </c>
      <c r="I30" s="192">
        <f>'Januari DAK'!M30</f>
        <v>0</v>
      </c>
      <c r="J30" s="28">
        <f>'Januari DAK'!N30</f>
        <v>0</v>
      </c>
      <c r="K30" s="21">
        <v>0</v>
      </c>
      <c r="L30" s="20">
        <f t="shared" si="1"/>
        <v>0</v>
      </c>
      <c r="M30" s="30">
        <f t="shared" si="4"/>
        <v>0</v>
      </c>
      <c r="N30" s="29">
        <f t="shared" si="2"/>
        <v>0</v>
      </c>
      <c r="O30" s="22"/>
      <c r="P30" s="21">
        <f t="shared" si="3"/>
        <v>2095374000</v>
      </c>
    </row>
    <row r="31" spans="1:16" s="49" customFormat="1" ht="23.25" customHeight="1">
      <c r="A31" s="36">
        <v>2</v>
      </c>
      <c r="B31" s="36">
        <v>8</v>
      </c>
      <c r="C31" s="36">
        <v>7</v>
      </c>
      <c r="D31" s="37"/>
      <c r="E31" s="36"/>
      <c r="F31" s="38" t="s">
        <v>84</v>
      </c>
      <c r="G31" s="46">
        <f>G32</f>
        <v>182548000</v>
      </c>
      <c r="H31" s="40">
        <f t="shared" si="0"/>
        <v>6.8926561351919352E-2</v>
      </c>
      <c r="I31" s="41">
        <f>'Januari DAK'!M31</f>
        <v>0</v>
      </c>
      <c r="J31" s="42">
        <f>'Januari DAK'!N31</f>
        <v>0</v>
      </c>
      <c r="K31" s="46">
        <f>K32</f>
        <v>0</v>
      </c>
      <c r="L31" s="109">
        <f t="shared" si="1"/>
        <v>0</v>
      </c>
      <c r="M31" s="39">
        <f t="shared" si="4"/>
        <v>0</v>
      </c>
      <c r="N31" s="43">
        <f t="shared" si="2"/>
        <v>0</v>
      </c>
      <c r="O31" s="44"/>
      <c r="P31" s="39">
        <f t="shared" si="3"/>
        <v>182548000</v>
      </c>
    </row>
    <row r="32" spans="1:16" s="106" customFormat="1" ht="36.75" customHeight="1">
      <c r="A32" s="5">
        <v>2</v>
      </c>
      <c r="B32" s="5">
        <v>8</v>
      </c>
      <c r="C32" s="5">
        <v>7</v>
      </c>
      <c r="D32" s="6" t="s">
        <v>7</v>
      </c>
      <c r="E32" s="5"/>
      <c r="F32" s="7" t="s">
        <v>174</v>
      </c>
      <c r="G32" s="45">
        <f>G33</f>
        <v>182548000</v>
      </c>
      <c r="H32" s="9">
        <f t="shared" si="0"/>
        <v>6.8926561351919352E-2</v>
      </c>
      <c r="I32" s="10">
        <f>'Januari DAK'!M32</f>
        <v>0</v>
      </c>
      <c r="J32" s="11">
        <f>'Januari DAK'!N32</f>
        <v>0</v>
      </c>
      <c r="K32" s="45">
        <f>K33</f>
        <v>0</v>
      </c>
      <c r="L32" s="108">
        <f t="shared" si="1"/>
        <v>0</v>
      </c>
      <c r="M32" s="8">
        <f t="shared" si="4"/>
        <v>0</v>
      </c>
      <c r="N32" s="12">
        <f t="shared" si="2"/>
        <v>0</v>
      </c>
      <c r="O32" s="13"/>
      <c r="P32" s="8">
        <f t="shared" si="3"/>
        <v>182548000</v>
      </c>
    </row>
    <row r="33" spans="1:20" s="3" customFormat="1" ht="30.75" customHeight="1">
      <c r="A33" s="14">
        <v>2</v>
      </c>
      <c r="B33" s="14">
        <v>8</v>
      </c>
      <c r="C33" s="14">
        <v>7</v>
      </c>
      <c r="D33" s="15" t="s">
        <v>7</v>
      </c>
      <c r="E33" s="14">
        <v>6</v>
      </c>
      <c r="F33" s="168" t="s">
        <v>175</v>
      </c>
      <c r="G33" s="17">
        <v>182548000</v>
      </c>
      <c r="H33" s="18">
        <f t="shared" si="0"/>
        <v>6.8926561351919352E-2</v>
      </c>
      <c r="I33" s="192">
        <f>'Januari DAK'!M33</f>
        <v>0</v>
      </c>
      <c r="J33" s="28">
        <f>'Januari DAK'!N33</f>
        <v>0</v>
      </c>
      <c r="K33" s="21">
        <v>0</v>
      </c>
      <c r="L33" s="20">
        <f t="shared" si="1"/>
        <v>0</v>
      </c>
      <c r="M33" s="30">
        <f t="shared" si="4"/>
        <v>0</v>
      </c>
      <c r="N33" s="29">
        <f t="shared" si="2"/>
        <v>0</v>
      </c>
      <c r="O33" s="22"/>
      <c r="P33" s="21">
        <f t="shared" si="3"/>
        <v>182548000</v>
      </c>
    </row>
    <row r="34" spans="1:20" s="58" customFormat="1" ht="27" customHeight="1">
      <c r="A34" s="50"/>
      <c r="B34" s="50"/>
      <c r="C34" s="50"/>
      <c r="D34" s="51"/>
      <c r="E34" s="52"/>
      <c r="F34" s="53" t="s">
        <v>48</v>
      </c>
      <c r="G34" s="54">
        <f>G16+G18+G21+G23+G26+G29+G32</f>
        <v>2648442000</v>
      </c>
      <c r="H34" s="114">
        <f t="shared" si="0"/>
        <v>1</v>
      </c>
      <c r="I34" s="195">
        <f>'Januari DAK'!M34</f>
        <v>0</v>
      </c>
      <c r="J34" s="55">
        <f>'Januari DAK'!N34</f>
        <v>0</v>
      </c>
      <c r="K34" s="54">
        <f>K15+K20+K28+K31</f>
        <v>0</v>
      </c>
      <c r="L34" s="115">
        <f t="shared" si="1"/>
        <v>0</v>
      </c>
      <c r="M34" s="54">
        <f>M15+M20+M28+M31</f>
        <v>0</v>
      </c>
      <c r="N34" s="56">
        <f t="shared" si="2"/>
        <v>0</v>
      </c>
      <c r="O34" s="57"/>
      <c r="P34" s="116">
        <f t="shared" si="3"/>
        <v>2648442000</v>
      </c>
    </row>
    <row r="35" spans="1:20" s="3" customFormat="1">
      <c r="A35" s="161"/>
      <c r="B35" s="78"/>
      <c r="C35" s="78"/>
      <c r="D35" s="31"/>
      <c r="E35" s="32"/>
      <c r="F35" s="33"/>
      <c r="G35" s="34"/>
      <c r="H35" s="79"/>
      <c r="I35" s="80" t="s">
        <v>0</v>
      </c>
      <c r="J35" s="80"/>
      <c r="K35" s="80"/>
      <c r="L35" s="80"/>
      <c r="M35" s="80"/>
      <c r="N35" s="80"/>
      <c r="O35" s="81"/>
      <c r="P35" s="80"/>
    </row>
    <row r="36" spans="1:20" s="3" customFormat="1" ht="17.25" customHeight="1">
      <c r="A36" s="162"/>
      <c r="B36" s="82"/>
      <c r="C36" s="78"/>
      <c r="D36" s="83"/>
      <c r="E36" s="80"/>
      <c r="F36" s="80"/>
      <c r="G36" s="117"/>
      <c r="H36" s="79"/>
      <c r="I36" s="84"/>
      <c r="J36" s="80"/>
      <c r="K36" s="80"/>
      <c r="L36" s="80"/>
      <c r="M36" s="250"/>
      <c r="N36" s="250"/>
      <c r="O36" s="250"/>
      <c r="P36" s="85" t="s">
        <v>0</v>
      </c>
    </row>
    <row r="37" spans="1:20" s="3" customFormat="1" ht="18" customHeight="1">
      <c r="A37" s="162"/>
      <c r="B37" s="82"/>
      <c r="C37" s="78"/>
      <c r="D37" s="83"/>
      <c r="E37" s="32"/>
      <c r="F37" s="32"/>
      <c r="G37" s="86"/>
      <c r="H37" s="79"/>
      <c r="I37" s="80"/>
      <c r="J37" s="80"/>
      <c r="K37" s="80"/>
      <c r="L37" s="80"/>
      <c r="M37" s="244" t="s">
        <v>159</v>
      </c>
      <c r="N37" s="244"/>
      <c r="O37" s="244"/>
      <c r="P37" s="87"/>
    </row>
    <row r="38" spans="1:20" s="3" customFormat="1">
      <c r="A38" s="129"/>
      <c r="B38" s="88"/>
      <c r="C38" s="89"/>
      <c r="D38" s="90"/>
      <c r="E38" s="1"/>
      <c r="F38" s="1"/>
      <c r="G38" s="1"/>
      <c r="H38" s="91"/>
      <c r="I38" s="1"/>
      <c r="M38" s="250" t="s">
        <v>139</v>
      </c>
      <c r="N38" s="250"/>
      <c r="O38" s="250"/>
    </row>
    <row r="39" spans="1:20" s="3" customFormat="1">
      <c r="A39" s="129"/>
      <c r="B39" s="88"/>
      <c r="C39" s="89"/>
      <c r="D39" s="90"/>
      <c r="E39" s="1"/>
      <c r="F39" s="1"/>
      <c r="G39" s="2"/>
      <c r="H39" s="91"/>
      <c r="I39" s="1"/>
      <c r="M39" s="251"/>
      <c r="N39" s="251"/>
      <c r="O39" s="251"/>
    </row>
    <row r="40" spans="1:20" s="3" customFormat="1" ht="15" customHeight="1">
      <c r="A40" s="129"/>
      <c r="B40" s="88"/>
      <c r="C40" s="89"/>
      <c r="D40" s="90"/>
      <c r="E40" s="1"/>
      <c r="F40" s="1"/>
      <c r="G40" s="1"/>
      <c r="H40" s="91"/>
      <c r="I40" s="1"/>
      <c r="M40" s="246"/>
      <c r="N40" s="246"/>
      <c r="O40" s="246"/>
    </row>
    <row r="41" spans="1:20" s="3" customFormat="1" ht="15" customHeight="1">
      <c r="A41" s="129" t="s">
        <v>0</v>
      </c>
      <c r="B41" s="88"/>
      <c r="C41" s="89"/>
      <c r="D41" s="90"/>
      <c r="E41" s="1"/>
      <c r="F41" s="1"/>
      <c r="G41" s="92"/>
      <c r="H41" s="91"/>
      <c r="M41" s="245" t="s">
        <v>136</v>
      </c>
      <c r="N41" s="245"/>
      <c r="O41" s="245"/>
    </row>
    <row r="42" spans="1:20" s="64" customFormat="1">
      <c r="A42" s="163"/>
      <c r="B42" s="94"/>
      <c r="C42" s="95"/>
      <c r="D42" s="96"/>
      <c r="E42" s="93"/>
      <c r="F42" s="93"/>
      <c r="G42" s="97"/>
      <c r="H42" s="98"/>
      <c r="M42" s="242" t="s">
        <v>137</v>
      </c>
      <c r="N42" s="242"/>
      <c r="O42" s="242"/>
      <c r="Q42" s="59"/>
      <c r="R42" s="59"/>
      <c r="S42" s="59"/>
      <c r="T42" s="59"/>
    </row>
    <row r="43" spans="1:20" s="64" customFormat="1">
      <c r="A43" s="163"/>
      <c r="B43" s="94"/>
      <c r="C43" s="95"/>
      <c r="D43" s="96"/>
      <c r="E43" s="93"/>
      <c r="F43" s="93"/>
      <c r="G43" s="97"/>
      <c r="H43" s="98"/>
      <c r="M43" s="242" t="s">
        <v>138</v>
      </c>
      <c r="N43" s="242"/>
      <c r="O43" s="242"/>
      <c r="Q43" s="59"/>
      <c r="R43" s="59"/>
      <c r="S43" s="59"/>
      <c r="T43" s="59"/>
    </row>
    <row r="44" spans="1:20" s="64" customFormat="1">
      <c r="A44" s="163"/>
      <c r="B44" s="94"/>
      <c r="C44" s="95"/>
      <c r="D44" s="96"/>
      <c r="E44" s="93"/>
      <c r="F44" s="93"/>
      <c r="G44" s="97"/>
      <c r="H44" s="98"/>
      <c r="M44" s="242"/>
      <c r="N44" s="242"/>
      <c r="O44" s="242"/>
      <c r="Q44" s="59"/>
      <c r="R44" s="59"/>
      <c r="S44" s="59"/>
      <c r="T44" s="59"/>
    </row>
    <row r="45" spans="1:20" s="64" customFormat="1">
      <c r="A45" s="163"/>
      <c r="B45" s="94"/>
      <c r="C45" s="95"/>
      <c r="D45" s="96"/>
      <c r="E45" s="93"/>
      <c r="F45" s="93"/>
      <c r="G45" s="97"/>
      <c r="H45" s="98"/>
      <c r="Q45" s="59"/>
      <c r="R45" s="59"/>
      <c r="S45" s="59"/>
      <c r="T45" s="59"/>
    </row>
  </sheetData>
  <mergeCells count="35">
    <mergeCell ref="M36:O36"/>
    <mergeCell ref="M44:O44"/>
    <mergeCell ref="M38:O38"/>
    <mergeCell ref="M39:O39"/>
    <mergeCell ref="M40:O40"/>
    <mergeCell ref="M41:O41"/>
    <mergeCell ref="M42:O42"/>
    <mergeCell ref="M43:O43"/>
    <mergeCell ref="M37:O37"/>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0.7" right="0.7" top="0.75" bottom="0.75" header="0.3" footer="0.3"/>
  <pageSetup paperSize="5" scale="22" orientation="landscape" horizontalDpi="4294967292" verticalDpi="4294967295" r:id="rId1"/>
  <rowBreaks count="1" manualBreakCount="1">
    <brk id="44" max="17" man="1"/>
  </rowBreaks>
</worksheet>
</file>

<file path=xl/worksheets/sheet11.xml><?xml version="1.0" encoding="utf-8"?>
<worksheet xmlns="http://schemas.openxmlformats.org/spreadsheetml/2006/main" xmlns:r="http://schemas.openxmlformats.org/officeDocument/2006/relationships">
  <dimension ref="A1:T45"/>
  <sheetViews>
    <sheetView showGridLines="0" view="pageBreakPreview" topLeftCell="G4" zoomScaleNormal="100" zoomScaleSheetLayoutView="100" workbookViewId="0">
      <selection activeCell="K35" sqref="K35"/>
    </sheetView>
  </sheetViews>
  <sheetFormatPr defaultColWidth="9.140625" defaultRowHeight="15"/>
  <cols>
    <col min="1" max="1" width="3.5703125" style="64" customWidth="1"/>
    <col min="2" max="2" width="3.85546875" style="100" customWidth="1"/>
    <col min="3" max="3" width="3.7109375" style="100" customWidth="1"/>
    <col min="4" max="4" width="4.140625" style="101" customWidth="1"/>
    <col min="5" max="5" width="3.140625" style="99" customWidth="1"/>
    <col min="6" max="6" width="68.140625" style="99" customWidth="1"/>
    <col min="7" max="7" width="14.42578125" style="102" customWidth="1"/>
    <col min="8" max="8" width="10" style="63" customWidth="1"/>
    <col min="9" max="9" width="14" style="64" customWidth="1"/>
    <col min="10" max="10" width="7.7109375" style="64" customWidth="1"/>
    <col min="11" max="11" width="12.28515625" style="64" customWidth="1"/>
    <col min="12" max="12" width="8.140625" style="64" customWidth="1"/>
    <col min="13" max="13" width="14.28515625" style="64" customWidth="1"/>
    <col min="14" max="14" width="7.42578125" style="64" customWidth="1"/>
    <col min="15" max="15" width="7.85546875" style="64" customWidth="1"/>
    <col min="16" max="16" width="15.14062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161</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160"/>
      <c r="B4" s="60"/>
      <c r="C4" s="60"/>
      <c r="D4" s="61"/>
      <c r="E4" s="60"/>
      <c r="F4" s="60"/>
      <c r="G4" s="62"/>
    </row>
    <row r="5" spans="1:17" ht="15" customHeight="1">
      <c r="A5" s="257" t="s">
        <v>42</v>
      </c>
      <c r="B5" s="257"/>
      <c r="C5" s="257"/>
      <c r="D5" s="257"/>
      <c r="E5" s="257"/>
      <c r="F5" s="65" t="s">
        <v>44</v>
      </c>
      <c r="G5" s="66"/>
      <c r="H5" s="66"/>
      <c r="I5" s="66"/>
      <c r="J5" s="66"/>
      <c r="K5" s="66"/>
      <c r="L5" s="66"/>
      <c r="M5" s="66"/>
      <c r="N5" s="66"/>
      <c r="O5" s="66"/>
      <c r="P5" s="66"/>
    </row>
    <row r="6" spans="1:17" ht="15" customHeight="1">
      <c r="A6" s="267" t="s">
        <v>162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196" t="s">
        <v>45</v>
      </c>
      <c r="G7" s="68"/>
      <c r="H7" s="69"/>
      <c r="I7" s="70"/>
      <c r="J7" s="70"/>
      <c r="K7" s="70"/>
      <c r="L7" s="70"/>
      <c r="M7" s="70"/>
      <c r="N7" s="70"/>
      <c r="O7" s="70"/>
      <c r="P7" s="70"/>
    </row>
    <row r="8" spans="1:17" ht="15" customHeight="1">
      <c r="A8" s="257" t="s">
        <v>40</v>
      </c>
      <c r="B8" s="257"/>
      <c r="C8" s="257"/>
      <c r="D8" s="257"/>
      <c r="E8" s="257"/>
      <c r="F8" s="196" t="s">
        <v>179</v>
      </c>
      <c r="G8" s="68"/>
      <c r="H8" s="69"/>
      <c r="I8" s="70"/>
      <c r="J8" s="70"/>
      <c r="K8" s="70"/>
      <c r="L8" s="70"/>
      <c r="M8" s="70"/>
      <c r="N8" s="70"/>
      <c r="O8" s="70"/>
      <c r="P8" s="70"/>
    </row>
    <row r="9" spans="1:17" ht="15" customHeight="1">
      <c r="A9" s="160"/>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33</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198" t="s">
        <v>30</v>
      </c>
      <c r="P12" s="252"/>
      <c r="Q12" s="74"/>
    </row>
    <row r="13" spans="1:17" ht="15" customHeight="1">
      <c r="A13" s="255"/>
      <c r="B13" s="255"/>
      <c r="C13" s="255"/>
      <c r="D13" s="255"/>
      <c r="E13" s="255"/>
      <c r="F13" s="263"/>
      <c r="G13" s="252"/>
      <c r="H13" s="256"/>
      <c r="I13" s="198" t="s">
        <v>29</v>
      </c>
      <c r="J13" s="198" t="s">
        <v>28</v>
      </c>
      <c r="K13" s="198" t="s">
        <v>29</v>
      </c>
      <c r="L13" s="198" t="s">
        <v>28</v>
      </c>
      <c r="M13" s="198" t="s">
        <v>29</v>
      </c>
      <c r="N13" s="198" t="s">
        <v>28</v>
      </c>
      <c r="O13" s="198" t="s">
        <v>28</v>
      </c>
      <c r="P13" s="252"/>
      <c r="Q13" s="74"/>
    </row>
    <row r="14" spans="1:17" s="75" customFormat="1" ht="17.25" customHeight="1">
      <c r="A14" s="270">
        <v>1</v>
      </c>
      <c r="B14" s="271"/>
      <c r="C14" s="271"/>
      <c r="D14" s="271"/>
      <c r="E14" s="272"/>
      <c r="F14" s="197">
        <v>2</v>
      </c>
      <c r="G14" s="50">
        <v>3</v>
      </c>
      <c r="H14" s="194">
        <v>4</v>
      </c>
      <c r="I14" s="198">
        <v>5</v>
      </c>
      <c r="J14" s="198">
        <v>6</v>
      </c>
      <c r="K14" s="198">
        <v>8</v>
      </c>
      <c r="L14" s="198">
        <v>9</v>
      </c>
      <c r="M14" s="198">
        <v>11</v>
      </c>
      <c r="N14" s="198">
        <v>12</v>
      </c>
      <c r="O14" s="198">
        <v>13</v>
      </c>
      <c r="P14" s="198">
        <v>14</v>
      </c>
    </row>
    <row r="15" spans="1:17" s="49" customFormat="1" ht="23.25" customHeight="1">
      <c r="A15" s="36">
        <v>2</v>
      </c>
      <c r="B15" s="36">
        <v>8</v>
      </c>
      <c r="C15" s="36">
        <v>3</v>
      </c>
      <c r="D15" s="37"/>
      <c r="E15" s="36"/>
      <c r="F15" s="38" t="s">
        <v>85</v>
      </c>
      <c r="G15" s="47">
        <f>G16+G18</f>
        <v>69000000</v>
      </c>
      <c r="H15" s="40">
        <f t="shared" ref="H15:H34" si="0">+G15/$G$34*100%</f>
        <v>2.6053053077998309E-2</v>
      </c>
      <c r="I15" s="41">
        <f>'Februari DAK'!M15</f>
        <v>0</v>
      </c>
      <c r="J15" s="42">
        <f>'Februari DAK'!N15</f>
        <v>0</v>
      </c>
      <c r="K15" s="47">
        <f>K16+K18</f>
        <v>0</v>
      </c>
      <c r="L15" s="109">
        <f t="shared" ref="L15:L34" si="1">K15/G15*100</f>
        <v>0</v>
      </c>
      <c r="M15" s="39">
        <f>I15+K15</f>
        <v>0</v>
      </c>
      <c r="N15" s="43">
        <f t="shared" ref="N15:N34" si="2">M15/G15*100</f>
        <v>0</v>
      </c>
      <c r="O15" s="44"/>
      <c r="P15" s="39">
        <f t="shared" ref="P15:P34" si="3">G15-M15</f>
        <v>69000000</v>
      </c>
    </row>
    <row r="16" spans="1:17" s="106" customFormat="1" ht="36" customHeight="1">
      <c r="A16" s="5">
        <v>2</v>
      </c>
      <c r="B16" s="5">
        <v>8</v>
      </c>
      <c r="C16" s="5">
        <v>3</v>
      </c>
      <c r="D16" s="6" t="s">
        <v>8</v>
      </c>
      <c r="E16" s="5"/>
      <c r="F16" s="7" t="s">
        <v>164</v>
      </c>
      <c r="G16" s="45">
        <f>G17</f>
        <v>48500000</v>
      </c>
      <c r="H16" s="9">
        <f t="shared" si="0"/>
        <v>1.8312653250477071E-2</v>
      </c>
      <c r="I16" s="10">
        <f>'Februari DAK'!M16</f>
        <v>0</v>
      </c>
      <c r="J16" s="11">
        <f>'Februari DAK'!N16</f>
        <v>0</v>
      </c>
      <c r="K16" s="45">
        <f>K17</f>
        <v>0</v>
      </c>
      <c r="L16" s="108">
        <f t="shared" si="1"/>
        <v>0</v>
      </c>
      <c r="M16" s="8">
        <f t="shared" ref="M16:M33" si="4">I16+K16</f>
        <v>0</v>
      </c>
      <c r="N16" s="12">
        <f t="shared" si="2"/>
        <v>0</v>
      </c>
      <c r="O16" s="13"/>
      <c r="P16" s="8">
        <f t="shared" si="3"/>
        <v>48500000</v>
      </c>
    </row>
    <row r="17" spans="1:16" s="3" customFormat="1" ht="38.25" customHeight="1">
      <c r="A17" s="14">
        <v>2</v>
      </c>
      <c r="B17" s="14">
        <v>8</v>
      </c>
      <c r="C17" s="14">
        <v>3</v>
      </c>
      <c r="D17" s="15" t="s">
        <v>8</v>
      </c>
      <c r="E17" s="14">
        <v>1</v>
      </c>
      <c r="F17" s="16" t="s">
        <v>165</v>
      </c>
      <c r="G17" s="17">
        <v>48500000</v>
      </c>
      <c r="H17" s="18">
        <f t="shared" si="0"/>
        <v>1.8312653250477071E-2</v>
      </c>
      <c r="I17" s="192">
        <f>'Februari DAK'!M17</f>
        <v>0</v>
      </c>
      <c r="J17" s="28">
        <f>'Februari DAK'!N17</f>
        <v>0</v>
      </c>
      <c r="K17" s="21">
        <v>0</v>
      </c>
      <c r="L17" s="20">
        <f t="shared" si="1"/>
        <v>0</v>
      </c>
      <c r="M17" s="30">
        <f t="shared" si="4"/>
        <v>0</v>
      </c>
      <c r="N17" s="29">
        <f t="shared" si="2"/>
        <v>0</v>
      </c>
      <c r="O17" s="22"/>
      <c r="P17" s="21">
        <f t="shared" si="3"/>
        <v>48500000</v>
      </c>
    </row>
    <row r="18" spans="1:16" s="106" customFormat="1" ht="36" customHeight="1">
      <c r="A18" s="5">
        <v>2</v>
      </c>
      <c r="B18" s="5">
        <v>8</v>
      </c>
      <c r="C18" s="5">
        <v>3</v>
      </c>
      <c r="D18" s="6" t="s">
        <v>14</v>
      </c>
      <c r="E18" s="5"/>
      <c r="F18" s="7" t="s">
        <v>166</v>
      </c>
      <c r="G18" s="45">
        <f>G19</f>
        <v>20500000</v>
      </c>
      <c r="H18" s="9">
        <f t="shared" si="0"/>
        <v>7.7403998275212367E-3</v>
      </c>
      <c r="I18" s="10">
        <f>'Februari DAK'!M18</f>
        <v>0</v>
      </c>
      <c r="J18" s="11">
        <f>'Februari DAK'!N18</f>
        <v>0</v>
      </c>
      <c r="K18" s="45">
        <f>K19</f>
        <v>0</v>
      </c>
      <c r="L18" s="108">
        <f t="shared" si="1"/>
        <v>0</v>
      </c>
      <c r="M18" s="8">
        <f t="shared" si="4"/>
        <v>0</v>
      </c>
      <c r="N18" s="12">
        <f t="shared" si="2"/>
        <v>0</v>
      </c>
      <c r="O18" s="13"/>
      <c r="P18" s="8">
        <f t="shared" si="3"/>
        <v>20500000</v>
      </c>
    </row>
    <row r="19" spans="1:16" s="3" customFormat="1" ht="37.5" customHeight="1">
      <c r="A19" s="14">
        <v>2</v>
      </c>
      <c r="B19" s="14">
        <v>8</v>
      </c>
      <c r="C19" s="14">
        <v>3</v>
      </c>
      <c r="D19" s="15" t="s">
        <v>14</v>
      </c>
      <c r="E19" s="14">
        <v>2</v>
      </c>
      <c r="F19" s="16" t="s">
        <v>167</v>
      </c>
      <c r="G19" s="17">
        <f>20500000</f>
        <v>20500000</v>
      </c>
      <c r="H19" s="18">
        <f t="shared" si="0"/>
        <v>7.7403998275212367E-3</v>
      </c>
      <c r="I19" s="192">
        <f>'Februari DAK'!M19</f>
        <v>0</v>
      </c>
      <c r="J19" s="28">
        <f>'Februari DAK'!N19</f>
        <v>0</v>
      </c>
      <c r="K19" s="21">
        <v>0</v>
      </c>
      <c r="L19" s="20">
        <f t="shared" si="1"/>
        <v>0</v>
      </c>
      <c r="M19" s="30">
        <f t="shared" si="4"/>
        <v>0</v>
      </c>
      <c r="N19" s="29">
        <f t="shared" si="2"/>
        <v>0</v>
      </c>
      <c r="O19" s="22"/>
      <c r="P19" s="21">
        <f t="shared" si="3"/>
        <v>20500000</v>
      </c>
    </row>
    <row r="20" spans="1:16" s="49" customFormat="1" ht="23.25" customHeight="1">
      <c r="A20" s="36">
        <v>2</v>
      </c>
      <c r="B20" s="36">
        <v>8</v>
      </c>
      <c r="C20" s="36">
        <v>7</v>
      </c>
      <c r="D20" s="37"/>
      <c r="E20" s="36"/>
      <c r="F20" s="38" t="s">
        <v>109</v>
      </c>
      <c r="G20" s="47">
        <f>G21+G23</f>
        <v>101520000</v>
      </c>
      <c r="H20" s="40">
        <f t="shared" si="0"/>
        <v>3.8331970267802731E-2</v>
      </c>
      <c r="I20" s="41">
        <f>'Februari DAK'!M20</f>
        <v>0</v>
      </c>
      <c r="J20" s="42">
        <f>'Februari DAK'!N20</f>
        <v>0</v>
      </c>
      <c r="K20" s="47">
        <f>K21+K28</f>
        <v>0</v>
      </c>
      <c r="L20" s="109">
        <f t="shared" si="1"/>
        <v>0</v>
      </c>
      <c r="M20" s="39">
        <f t="shared" si="4"/>
        <v>0</v>
      </c>
      <c r="N20" s="43">
        <f t="shared" si="2"/>
        <v>0</v>
      </c>
      <c r="O20" s="44"/>
      <c r="P20" s="39">
        <f t="shared" si="3"/>
        <v>101520000</v>
      </c>
    </row>
    <row r="21" spans="1:16" s="106" customFormat="1" ht="34.5" customHeight="1">
      <c r="A21" s="5">
        <v>2</v>
      </c>
      <c r="B21" s="5">
        <v>8</v>
      </c>
      <c r="C21" s="5">
        <v>7</v>
      </c>
      <c r="D21" s="6" t="s">
        <v>8</v>
      </c>
      <c r="E21" s="5"/>
      <c r="F21" s="7" t="s">
        <v>168</v>
      </c>
      <c r="G21" s="45">
        <f>G22</f>
        <v>53000000</v>
      </c>
      <c r="H21" s="9">
        <f t="shared" si="0"/>
        <v>2.0011765407737834E-2</v>
      </c>
      <c r="I21" s="10">
        <f>'Februari DAK'!M21</f>
        <v>0</v>
      </c>
      <c r="J21" s="11">
        <f>'Februari DAK'!N21</f>
        <v>0</v>
      </c>
      <c r="K21" s="45">
        <f>K22</f>
        <v>0</v>
      </c>
      <c r="L21" s="108">
        <f t="shared" si="1"/>
        <v>0</v>
      </c>
      <c r="M21" s="8">
        <f t="shared" si="4"/>
        <v>0</v>
      </c>
      <c r="N21" s="12">
        <f t="shared" si="2"/>
        <v>0</v>
      </c>
      <c r="O21" s="13"/>
      <c r="P21" s="8">
        <f t="shared" si="3"/>
        <v>53000000</v>
      </c>
    </row>
    <row r="22" spans="1:16" s="3" customFormat="1" ht="36.75" customHeight="1">
      <c r="A22" s="14">
        <v>2</v>
      </c>
      <c r="B22" s="14">
        <v>8</v>
      </c>
      <c r="C22" s="14">
        <v>7</v>
      </c>
      <c r="D22" s="15" t="s">
        <v>8</v>
      </c>
      <c r="E22" s="14">
        <v>2</v>
      </c>
      <c r="F22" s="16" t="s">
        <v>169</v>
      </c>
      <c r="G22" s="17">
        <f>53000000</f>
        <v>53000000</v>
      </c>
      <c r="H22" s="18">
        <f t="shared" si="0"/>
        <v>2.0011765407737834E-2</v>
      </c>
      <c r="I22" s="192">
        <f>'Februari DAK'!M22</f>
        <v>0</v>
      </c>
      <c r="J22" s="28">
        <f>'Februari DAK'!N22</f>
        <v>0</v>
      </c>
      <c r="K22" s="21">
        <v>0</v>
      </c>
      <c r="L22" s="20">
        <f t="shared" si="1"/>
        <v>0</v>
      </c>
      <c r="M22" s="30">
        <f t="shared" si="4"/>
        <v>0</v>
      </c>
      <c r="N22" s="29">
        <f t="shared" si="2"/>
        <v>0</v>
      </c>
      <c r="O22" s="22"/>
      <c r="P22" s="21">
        <f t="shared" si="3"/>
        <v>53000000</v>
      </c>
    </row>
    <row r="23" spans="1:16" s="106" customFormat="1" ht="48.75" customHeight="1">
      <c r="A23" s="5">
        <v>2</v>
      </c>
      <c r="B23" s="5">
        <v>8</v>
      </c>
      <c r="C23" s="5">
        <v>7</v>
      </c>
      <c r="D23" s="6" t="s">
        <v>14</v>
      </c>
      <c r="E23" s="5"/>
      <c r="F23" s="7" t="s">
        <v>170</v>
      </c>
      <c r="G23" s="45">
        <f>G24</f>
        <v>48520000</v>
      </c>
      <c r="H23" s="9">
        <f t="shared" si="0"/>
        <v>1.8320204860064897E-2</v>
      </c>
      <c r="I23" s="10">
        <f>'Februari DAK'!M23</f>
        <v>0</v>
      </c>
      <c r="J23" s="11">
        <f>'Februari DAK'!N23</f>
        <v>0</v>
      </c>
      <c r="K23" s="45">
        <f>K24</f>
        <v>0</v>
      </c>
      <c r="L23" s="108">
        <f t="shared" si="1"/>
        <v>0</v>
      </c>
      <c r="M23" s="8">
        <f t="shared" si="4"/>
        <v>0</v>
      </c>
      <c r="N23" s="12">
        <f t="shared" si="2"/>
        <v>0</v>
      </c>
      <c r="O23" s="13"/>
      <c r="P23" s="8">
        <f t="shared" si="3"/>
        <v>48520000</v>
      </c>
    </row>
    <row r="24" spans="1:16" s="3" customFormat="1" ht="40.5" customHeight="1">
      <c r="A24" s="14">
        <v>2</v>
      </c>
      <c r="B24" s="14">
        <v>8</v>
      </c>
      <c r="C24" s="14">
        <v>7</v>
      </c>
      <c r="D24" s="15" t="s">
        <v>14</v>
      </c>
      <c r="E24" s="14">
        <v>8</v>
      </c>
      <c r="F24" s="191" t="s">
        <v>171</v>
      </c>
      <c r="G24" s="17">
        <f>48520000</f>
        <v>48520000</v>
      </c>
      <c r="H24" s="18">
        <f t="shared" si="0"/>
        <v>1.8320204860064897E-2</v>
      </c>
      <c r="I24" s="192">
        <f>'Februari DAK'!M24</f>
        <v>0</v>
      </c>
      <c r="J24" s="28">
        <f>'Februari DAK'!N24</f>
        <v>0</v>
      </c>
      <c r="K24" s="21">
        <v>0</v>
      </c>
      <c r="L24" s="20">
        <f t="shared" si="1"/>
        <v>0</v>
      </c>
      <c r="M24" s="30">
        <f t="shared" si="4"/>
        <v>0</v>
      </c>
      <c r="N24" s="29">
        <f t="shared" si="2"/>
        <v>0</v>
      </c>
      <c r="O24" s="22"/>
      <c r="P24" s="21">
        <f t="shared" si="3"/>
        <v>48520000</v>
      </c>
    </row>
    <row r="25" spans="1:16" s="3" customFormat="1" ht="28.5" customHeight="1">
      <c r="A25" s="36">
        <v>2</v>
      </c>
      <c r="B25" s="36">
        <v>14</v>
      </c>
      <c r="C25" s="36">
        <v>4</v>
      </c>
      <c r="D25" s="37"/>
      <c r="E25" s="36"/>
      <c r="F25" s="193" t="s">
        <v>9</v>
      </c>
      <c r="G25" s="47">
        <f>G26</f>
        <v>200000000</v>
      </c>
      <c r="H25" s="40">
        <f t="shared" si="0"/>
        <v>7.5516095878255973E-2</v>
      </c>
      <c r="I25" s="41">
        <f>'Februari DAK'!M25</f>
        <v>0</v>
      </c>
      <c r="J25" s="42">
        <f>'Februari DAK'!N25</f>
        <v>0</v>
      </c>
      <c r="K25" s="47">
        <f>K26+K33</f>
        <v>0</v>
      </c>
      <c r="L25" s="109">
        <f t="shared" si="1"/>
        <v>0</v>
      </c>
      <c r="M25" s="39">
        <f t="shared" si="4"/>
        <v>0</v>
      </c>
      <c r="N25" s="43">
        <f t="shared" si="2"/>
        <v>0</v>
      </c>
      <c r="O25" s="44"/>
      <c r="P25" s="39">
        <f t="shared" si="3"/>
        <v>200000000</v>
      </c>
    </row>
    <row r="26" spans="1:16" s="3" customFormat="1" ht="36.75" customHeight="1">
      <c r="A26" s="5">
        <v>2</v>
      </c>
      <c r="B26" s="5">
        <v>14</v>
      </c>
      <c r="C26" s="5">
        <v>4</v>
      </c>
      <c r="D26" s="6" t="s">
        <v>8</v>
      </c>
      <c r="E26" s="5"/>
      <c r="F26" s="167" t="s">
        <v>172</v>
      </c>
      <c r="G26" s="45">
        <f>G27</f>
        <v>200000000</v>
      </c>
      <c r="H26" s="9">
        <f t="shared" si="0"/>
        <v>7.5516095878255973E-2</v>
      </c>
      <c r="I26" s="10">
        <f>'Februari DAK'!M26</f>
        <v>0</v>
      </c>
      <c r="J26" s="11">
        <f>'Februari DAK'!N26</f>
        <v>0</v>
      </c>
      <c r="K26" s="45">
        <f>K28</f>
        <v>0</v>
      </c>
      <c r="L26" s="108">
        <f t="shared" si="1"/>
        <v>0</v>
      </c>
      <c r="M26" s="8">
        <f t="shared" si="4"/>
        <v>0</v>
      </c>
      <c r="N26" s="12">
        <f t="shared" si="2"/>
        <v>0</v>
      </c>
      <c r="O26" s="13"/>
      <c r="P26" s="8">
        <f t="shared" si="3"/>
        <v>200000000</v>
      </c>
    </row>
    <row r="27" spans="1:16" s="3" customFormat="1" ht="37.5" customHeight="1">
      <c r="A27" s="14">
        <v>2</v>
      </c>
      <c r="B27" s="14">
        <v>14</v>
      </c>
      <c r="C27" s="14">
        <v>4</v>
      </c>
      <c r="D27" s="15" t="s">
        <v>8</v>
      </c>
      <c r="E27" s="14">
        <v>17</v>
      </c>
      <c r="F27" s="166" t="s">
        <v>163</v>
      </c>
      <c r="G27" s="17">
        <v>200000000</v>
      </c>
      <c r="H27" s="18">
        <f t="shared" si="0"/>
        <v>7.5516095878255973E-2</v>
      </c>
      <c r="I27" s="192">
        <f>'Februari DAK'!M27</f>
        <v>0</v>
      </c>
      <c r="J27" s="28">
        <f>'Februari DAK'!N27</f>
        <v>0</v>
      </c>
      <c r="K27" s="164"/>
      <c r="L27" s="20"/>
      <c r="M27" s="30">
        <f>I27+K27</f>
        <v>0</v>
      </c>
      <c r="N27" s="29"/>
      <c r="O27" s="165"/>
      <c r="P27" s="21">
        <f>G27-M27</f>
        <v>200000000</v>
      </c>
    </row>
    <row r="28" spans="1:16" s="49" customFormat="1" ht="23.25" customHeight="1">
      <c r="A28" s="36">
        <v>2</v>
      </c>
      <c r="B28" s="36">
        <v>8</v>
      </c>
      <c r="C28" s="36">
        <v>3</v>
      </c>
      <c r="D28" s="37"/>
      <c r="E28" s="36"/>
      <c r="F28" s="38" t="s">
        <v>83</v>
      </c>
      <c r="G28" s="46">
        <f>G29</f>
        <v>2095374000</v>
      </c>
      <c r="H28" s="40">
        <f t="shared" si="0"/>
        <v>0.79117231942402366</v>
      </c>
      <c r="I28" s="41">
        <f>'Februari DAK'!M28</f>
        <v>0</v>
      </c>
      <c r="J28" s="42">
        <f>'Februari DAK'!N28</f>
        <v>0</v>
      </c>
      <c r="K28" s="46">
        <f>K29</f>
        <v>0</v>
      </c>
      <c r="L28" s="109">
        <f t="shared" si="1"/>
        <v>0</v>
      </c>
      <c r="M28" s="39">
        <f t="shared" si="4"/>
        <v>0</v>
      </c>
      <c r="N28" s="43">
        <f t="shared" si="2"/>
        <v>0</v>
      </c>
      <c r="O28" s="44"/>
      <c r="P28" s="39">
        <f t="shared" si="3"/>
        <v>2095374000</v>
      </c>
    </row>
    <row r="29" spans="1:16" s="106" customFormat="1" ht="51" customHeight="1">
      <c r="A29" s="5">
        <v>2</v>
      </c>
      <c r="B29" s="5">
        <v>8</v>
      </c>
      <c r="C29" s="5">
        <v>3</v>
      </c>
      <c r="D29" s="6" t="s">
        <v>7</v>
      </c>
      <c r="E29" s="5"/>
      <c r="F29" s="7" t="s">
        <v>176</v>
      </c>
      <c r="G29" s="45">
        <f>G30</f>
        <v>2095374000</v>
      </c>
      <c r="H29" s="9">
        <f t="shared" si="0"/>
        <v>0.79117231942402366</v>
      </c>
      <c r="I29" s="10">
        <f>'Februari DAK'!M29</f>
        <v>0</v>
      </c>
      <c r="J29" s="11">
        <f>'Februari DAK'!N29</f>
        <v>0</v>
      </c>
      <c r="K29" s="45">
        <f>K30</f>
        <v>0</v>
      </c>
      <c r="L29" s="108">
        <f t="shared" si="1"/>
        <v>0</v>
      </c>
      <c r="M29" s="8">
        <f t="shared" si="4"/>
        <v>0</v>
      </c>
      <c r="N29" s="12">
        <f t="shared" si="2"/>
        <v>0</v>
      </c>
      <c r="O29" s="13"/>
      <c r="P29" s="8">
        <f t="shared" si="3"/>
        <v>2095374000</v>
      </c>
    </row>
    <row r="30" spans="1:16" s="3" customFormat="1" ht="39.75" customHeight="1">
      <c r="A30" s="14">
        <v>2</v>
      </c>
      <c r="B30" s="14">
        <v>8</v>
      </c>
      <c r="C30" s="14">
        <v>3</v>
      </c>
      <c r="D30" s="15" t="s">
        <v>7</v>
      </c>
      <c r="E30" s="14">
        <v>2</v>
      </c>
      <c r="F30" s="16" t="s">
        <v>177</v>
      </c>
      <c r="G30" s="17">
        <v>2095374000</v>
      </c>
      <c r="H30" s="18">
        <f t="shared" si="0"/>
        <v>0.79117231942402366</v>
      </c>
      <c r="I30" s="192">
        <f>'Februari DAK'!M30</f>
        <v>0</v>
      </c>
      <c r="J30" s="28">
        <f>'Februari DAK'!N30</f>
        <v>0</v>
      </c>
      <c r="K30" s="21">
        <v>0</v>
      </c>
      <c r="L30" s="20">
        <f t="shared" si="1"/>
        <v>0</v>
      </c>
      <c r="M30" s="30">
        <f t="shared" si="4"/>
        <v>0</v>
      </c>
      <c r="N30" s="29">
        <f t="shared" si="2"/>
        <v>0</v>
      </c>
      <c r="O30" s="22"/>
      <c r="P30" s="21">
        <f t="shared" si="3"/>
        <v>2095374000</v>
      </c>
    </row>
    <row r="31" spans="1:16" s="49" customFormat="1" ht="23.25" customHeight="1">
      <c r="A31" s="36">
        <v>2</v>
      </c>
      <c r="B31" s="36">
        <v>8</v>
      </c>
      <c r="C31" s="36">
        <v>7</v>
      </c>
      <c r="D31" s="37"/>
      <c r="E31" s="36"/>
      <c r="F31" s="38" t="s">
        <v>84</v>
      </c>
      <c r="G31" s="46">
        <f>G32</f>
        <v>182548000</v>
      </c>
      <c r="H31" s="40">
        <f t="shared" si="0"/>
        <v>6.8926561351919352E-2</v>
      </c>
      <c r="I31" s="41">
        <f>'Februari DAK'!M31</f>
        <v>0</v>
      </c>
      <c r="J31" s="42">
        <f>'Februari DAK'!N31</f>
        <v>0</v>
      </c>
      <c r="K31" s="46">
        <f>K32</f>
        <v>0</v>
      </c>
      <c r="L31" s="109">
        <f t="shared" si="1"/>
        <v>0</v>
      </c>
      <c r="M31" s="39">
        <f t="shared" si="4"/>
        <v>0</v>
      </c>
      <c r="N31" s="43">
        <f t="shared" si="2"/>
        <v>0</v>
      </c>
      <c r="O31" s="44"/>
      <c r="P31" s="39">
        <f t="shared" si="3"/>
        <v>182548000</v>
      </c>
    </row>
    <row r="32" spans="1:16" s="106" customFormat="1" ht="36.75" customHeight="1">
      <c r="A32" s="5">
        <v>2</v>
      </c>
      <c r="B32" s="5">
        <v>8</v>
      </c>
      <c r="C32" s="5">
        <v>7</v>
      </c>
      <c r="D32" s="6" t="s">
        <v>7</v>
      </c>
      <c r="E32" s="5"/>
      <c r="F32" s="7" t="s">
        <v>174</v>
      </c>
      <c r="G32" s="45">
        <f>G33</f>
        <v>182548000</v>
      </c>
      <c r="H32" s="9">
        <f t="shared" si="0"/>
        <v>6.8926561351919352E-2</v>
      </c>
      <c r="I32" s="10">
        <f>'Februari DAK'!M32</f>
        <v>0</v>
      </c>
      <c r="J32" s="11">
        <f>'Februari DAK'!N32</f>
        <v>0</v>
      </c>
      <c r="K32" s="45">
        <f>K33</f>
        <v>0</v>
      </c>
      <c r="L32" s="108">
        <f t="shared" si="1"/>
        <v>0</v>
      </c>
      <c r="M32" s="8">
        <f t="shared" si="4"/>
        <v>0</v>
      </c>
      <c r="N32" s="12">
        <f t="shared" si="2"/>
        <v>0</v>
      </c>
      <c r="O32" s="13"/>
      <c r="P32" s="8">
        <f t="shared" si="3"/>
        <v>182548000</v>
      </c>
    </row>
    <row r="33" spans="1:20" s="3" customFormat="1" ht="30.75" customHeight="1">
      <c r="A33" s="14">
        <v>2</v>
      </c>
      <c r="B33" s="14">
        <v>8</v>
      </c>
      <c r="C33" s="14">
        <v>7</v>
      </c>
      <c r="D33" s="15" t="s">
        <v>7</v>
      </c>
      <c r="E33" s="14">
        <v>6</v>
      </c>
      <c r="F33" s="168" t="s">
        <v>175</v>
      </c>
      <c r="G33" s="17">
        <v>182548000</v>
      </c>
      <c r="H33" s="18">
        <f t="shared" si="0"/>
        <v>6.8926561351919352E-2</v>
      </c>
      <c r="I33" s="192">
        <f>'Februari DAK'!M33</f>
        <v>0</v>
      </c>
      <c r="J33" s="28">
        <f>'Februari DAK'!N33</f>
        <v>0</v>
      </c>
      <c r="K33" s="21">
        <v>0</v>
      </c>
      <c r="L33" s="20">
        <f t="shared" si="1"/>
        <v>0</v>
      </c>
      <c r="M33" s="30">
        <f t="shared" si="4"/>
        <v>0</v>
      </c>
      <c r="N33" s="29">
        <f t="shared" si="2"/>
        <v>0</v>
      </c>
      <c r="O33" s="22"/>
      <c r="P33" s="21">
        <f t="shared" si="3"/>
        <v>182548000</v>
      </c>
    </row>
    <row r="34" spans="1:20" s="58" customFormat="1" ht="27" customHeight="1">
      <c r="A34" s="50"/>
      <c r="B34" s="50"/>
      <c r="C34" s="50"/>
      <c r="D34" s="51"/>
      <c r="E34" s="52"/>
      <c r="F34" s="53" t="s">
        <v>48</v>
      </c>
      <c r="G34" s="54">
        <f>G16+G18+G21+G23+G26+G29+G32</f>
        <v>2648442000</v>
      </c>
      <c r="H34" s="114">
        <f t="shared" si="0"/>
        <v>1</v>
      </c>
      <c r="I34" s="195">
        <f>'Februari DAK'!M34</f>
        <v>0</v>
      </c>
      <c r="J34" s="55">
        <f>'Februari DAK'!N34</f>
        <v>0</v>
      </c>
      <c r="K34" s="54">
        <f>K15+K20+K28+K31</f>
        <v>0</v>
      </c>
      <c r="L34" s="115">
        <f t="shared" si="1"/>
        <v>0</v>
      </c>
      <c r="M34" s="54">
        <f>M15+M20+M28+M31</f>
        <v>0</v>
      </c>
      <c r="N34" s="56">
        <f t="shared" si="2"/>
        <v>0</v>
      </c>
      <c r="O34" s="57"/>
      <c r="P34" s="116">
        <f t="shared" si="3"/>
        <v>2648442000</v>
      </c>
    </row>
    <row r="35" spans="1:20" s="3" customFormat="1">
      <c r="A35" s="161"/>
      <c r="B35" s="78"/>
      <c r="C35" s="78"/>
      <c r="D35" s="31"/>
      <c r="E35" s="32"/>
      <c r="F35" s="33"/>
      <c r="G35" s="34"/>
      <c r="H35" s="79"/>
      <c r="I35" s="80" t="s">
        <v>0</v>
      </c>
      <c r="J35" s="80"/>
      <c r="K35" s="80"/>
      <c r="L35" s="80"/>
      <c r="M35" s="80"/>
      <c r="N35" s="80"/>
      <c r="O35" s="81"/>
      <c r="P35" s="80"/>
    </row>
    <row r="36" spans="1:20" s="3" customFormat="1" ht="17.25" customHeight="1">
      <c r="A36" s="162"/>
      <c r="B36" s="82"/>
      <c r="C36" s="78"/>
      <c r="D36" s="83"/>
      <c r="E36" s="80"/>
      <c r="F36" s="80"/>
      <c r="G36" s="117"/>
      <c r="H36" s="79"/>
      <c r="I36" s="84"/>
      <c r="J36" s="80"/>
      <c r="K36" s="80"/>
      <c r="L36" s="80"/>
      <c r="M36" s="250"/>
      <c r="N36" s="250"/>
      <c r="O36" s="250"/>
      <c r="P36" s="85" t="s">
        <v>0</v>
      </c>
    </row>
    <row r="37" spans="1:20" s="3" customFormat="1" ht="18" customHeight="1">
      <c r="A37" s="162"/>
      <c r="B37" s="82"/>
      <c r="C37" s="78"/>
      <c r="D37" s="83"/>
      <c r="E37" s="32"/>
      <c r="F37" s="32"/>
      <c r="G37" s="86"/>
      <c r="H37" s="79"/>
      <c r="I37" s="80"/>
      <c r="J37" s="80"/>
      <c r="K37" s="80"/>
      <c r="L37" s="80"/>
      <c r="M37" s="244" t="s">
        <v>178</v>
      </c>
      <c r="N37" s="244"/>
      <c r="O37" s="244"/>
      <c r="P37" s="87"/>
    </row>
    <row r="38" spans="1:20" s="3" customFormat="1">
      <c r="A38" s="129"/>
      <c r="B38" s="88"/>
      <c r="C38" s="89"/>
      <c r="D38" s="90"/>
      <c r="E38" s="1"/>
      <c r="F38" s="1"/>
      <c r="G38" s="1"/>
      <c r="H38" s="91"/>
      <c r="I38" s="1"/>
      <c r="M38" s="250" t="s">
        <v>139</v>
      </c>
      <c r="N38" s="250"/>
      <c r="O38" s="250"/>
    </row>
    <row r="39" spans="1:20" s="3" customFormat="1">
      <c r="A39" s="129"/>
      <c r="B39" s="88"/>
      <c r="C39" s="89"/>
      <c r="D39" s="90"/>
      <c r="E39" s="1"/>
      <c r="F39" s="1"/>
      <c r="G39" s="2"/>
      <c r="H39" s="91"/>
      <c r="I39" s="1"/>
      <c r="M39" s="251"/>
      <c r="N39" s="251"/>
      <c r="O39" s="251"/>
    </row>
    <row r="40" spans="1:20" s="3" customFormat="1" ht="15" customHeight="1">
      <c r="A40" s="129"/>
      <c r="B40" s="88"/>
      <c r="C40" s="89"/>
      <c r="D40" s="90"/>
      <c r="E40" s="1"/>
      <c r="F40" s="1"/>
      <c r="G40" s="1"/>
      <c r="H40" s="91"/>
      <c r="I40" s="1"/>
      <c r="M40" s="246"/>
      <c r="N40" s="246"/>
      <c r="O40" s="246"/>
    </row>
    <row r="41" spans="1:20" s="3" customFormat="1" ht="15" customHeight="1">
      <c r="A41" s="129" t="s">
        <v>0</v>
      </c>
      <c r="B41" s="88"/>
      <c r="C41" s="89"/>
      <c r="D41" s="90"/>
      <c r="E41" s="1"/>
      <c r="F41" s="1"/>
      <c r="G41" s="92"/>
      <c r="H41" s="91"/>
      <c r="M41" s="245" t="s">
        <v>136</v>
      </c>
      <c r="N41" s="245"/>
      <c r="O41" s="245"/>
    </row>
    <row r="42" spans="1:20" s="64" customFormat="1">
      <c r="A42" s="163"/>
      <c r="B42" s="94"/>
      <c r="C42" s="95"/>
      <c r="D42" s="96"/>
      <c r="E42" s="93"/>
      <c r="F42" s="93"/>
      <c r="G42" s="97"/>
      <c r="H42" s="98"/>
      <c r="M42" s="242" t="s">
        <v>137</v>
      </c>
      <c r="N42" s="242"/>
      <c r="O42" s="242"/>
      <c r="Q42" s="59"/>
      <c r="R42" s="59"/>
      <c r="S42" s="59"/>
      <c r="T42" s="59"/>
    </row>
    <row r="43" spans="1:20" s="64" customFormat="1">
      <c r="A43" s="163"/>
      <c r="B43" s="94"/>
      <c r="C43" s="95"/>
      <c r="D43" s="96"/>
      <c r="E43" s="93"/>
      <c r="F43" s="93"/>
      <c r="G43" s="97"/>
      <c r="H43" s="98"/>
      <c r="M43" s="242" t="s">
        <v>138</v>
      </c>
      <c r="N43" s="242"/>
      <c r="O43" s="242"/>
      <c r="Q43" s="59"/>
      <c r="R43" s="59"/>
      <c r="S43" s="59"/>
      <c r="T43" s="59"/>
    </row>
    <row r="44" spans="1:20" s="64" customFormat="1">
      <c r="A44" s="163"/>
      <c r="B44" s="94"/>
      <c r="C44" s="95"/>
      <c r="D44" s="96"/>
      <c r="E44" s="93"/>
      <c r="F44" s="93"/>
      <c r="G44" s="97"/>
      <c r="H44" s="98"/>
      <c r="M44" s="242"/>
      <c r="N44" s="242"/>
      <c r="O44" s="242"/>
      <c r="Q44" s="59"/>
      <c r="R44" s="59"/>
      <c r="S44" s="59"/>
      <c r="T44" s="59"/>
    </row>
    <row r="45" spans="1:20" s="64" customFormat="1">
      <c r="A45" s="163"/>
      <c r="B45" s="94"/>
      <c r="C45" s="95"/>
      <c r="D45" s="96"/>
      <c r="E45" s="93"/>
      <c r="F45" s="93"/>
      <c r="G45" s="97"/>
      <c r="H45" s="98"/>
      <c r="Q45" s="59"/>
      <c r="R45" s="59"/>
      <c r="S45" s="59"/>
      <c r="T45" s="59"/>
    </row>
  </sheetData>
  <mergeCells count="35">
    <mergeCell ref="M36:O36"/>
    <mergeCell ref="M44:O44"/>
    <mergeCell ref="M38:O38"/>
    <mergeCell ref="M39:O39"/>
    <mergeCell ref="M40:O40"/>
    <mergeCell ref="M41:O41"/>
    <mergeCell ref="M42:O42"/>
    <mergeCell ref="M43:O43"/>
    <mergeCell ref="M37:O37"/>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0.7" right="0.7" top="0.75" bottom="0.75" header="0.3" footer="0.3"/>
  <pageSetup paperSize="5" scale="22" orientation="landscape" horizontalDpi="4294967292" verticalDpi="4294967295" r:id="rId1"/>
  <rowBreaks count="1" manualBreakCount="1">
    <brk id="44" max="17" man="1"/>
  </rowBreaks>
</worksheet>
</file>

<file path=xl/worksheets/sheet12.xml><?xml version="1.0" encoding="utf-8"?>
<worksheet xmlns="http://schemas.openxmlformats.org/spreadsheetml/2006/main" xmlns:r="http://schemas.openxmlformats.org/officeDocument/2006/relationships">
  <dimension ref="A1:T45"/>
  <sheetViews>
    <sheetView showGridLines="0" view="pageBreakPreview" topLeftCell="E30" zoomScaleNormal="100" zoomScaleSheetLayoutView="100" workbookViewId="0">
      <selection activeCell="K39" sqref="K39"/>
    </sheetView>
  </sheetViews>
  <sheetFormatPr defaultColWidth="9.140625" defaultRowHeight="15"/>
  <cols>
    <col min="1" max="1" width="3.5703125" style="64" customWidth="1"/>
    <col min="2" max="2" width="3.85546875" style="100" customWidth="1"/>
    <col min="3" max="3" width="3.7109375" style="100" customWidth="1"/>
    <col min="4" max="4" width="4.140625" style="101" customWidth="1"/>
    <col min="5" max="5" width="3.140625" style="99" customWidth="1"/>
    <col min="6" max="6" width="68.140625" style="99" customWidth="1"/>
    <col min="7" max="7" width="14.42578125" style="102" customWidth="1"/>
    <col min="8" max="8" width="10" style="63" customWidth="1"/>
    <col min="9" max="9" width="14" style="64" customWidth="1"/>
    <col min="10" max="10" width="7.7109375" style="64" customWidth="1"/>
    <col min="11" max="11" width="12.28515625" style="64" customWidth="1"/>
    <col min="12" max="12" width="8.140625" style="64" customWidth="1"/>
    <col min="13" max="13" width="14.28515625" style="64" customWidth="1"/>
    <col min="14" max="14" width="7.42578125" style="64" customWidth="1"/>
    <col min="15" max="15" width="7.85546875" style="64" customWidth="1"/>
    <col min="16" max="16" width="15.14062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161</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160"/>
      <c r="B4" s="60"/>
      <c r="C4" s="60"/>
      <c r="D4" s="61"/>
      <c r="E4" s="60"/>
      <c r="F4" s="60"/>
      <c r="G4" s="62"/>
    </row>
    <row r="5" spans="1:17" ht="15" customHeight="1">
      <c r="A5" s="257" t="s">
        <v>42</v>
      </c>
      <c r="B5" s="257"/>
      <c r="C5" s="257"/>
      <c r="D5" s="257"/>
      <c r="E5" s="257"/>
      <c r="F5" s="65" t="s">
        <v>44</v>
      </c>
      <c r="G5" s="66"/>
      <c r="H5" s="66"/>
      <c r="I5" s="66"/>
      <c r="J5" s="66"/>
      <c r="K5" s="66"/>
      <c r="L5" s="66"/>
      <c r="M5" s="66"/>
      <c r="N5" s="66"/>
      <c r="O5" s="66"/>
      <c r="P5" s="66"/>
    </row>
    <row r="6" spans="1:17" ht="15" customHeight="1">
      <c r="A6" s="267" t="s">
        <v>162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02" t="s">
        <v>45</v>
      </c>
      <c r="G7" s="68"/>
      <c r="H7" s="69"/>
      <c r="I7" s="70"/>
      <c r="J7" s="70"/>
      <c r="K7" s="70"/>
      <c r="L7" s="70"/>
      <c r="M7" s="70"/>
      <c r="N7" s="70"/>
      <c r="O7" s="70"/>
      <c r="P7" s="70"/>
    </row>
    <row r="8" spans="1:17" ht="15" customHeight="1">
      <c r="A8" s="257" t="s">
        <v>40</v>
      </c>
      <c r="B8" s="257"/>
      <c r="C8" s="257"/>
      <c r="D8" s="257"/>
      <c r="E8" s="257"/>
      <c r="F8" s="202" t="s">
        <v>185</v>
      </c>
      <c r="G8" s="68"/>
      <c r="H8" s="69"/>
      <c r="I8" s="70"/>
      <c r="J8" s="70"/>
      <c r="K8" s="70"/>
      <c r="L8" s="70"/>
      <c r="M8" s="70"/>
      <c r="N8" s="70"/>
      <c r="O8" s="70"/>
      <c r="P8" s="70"/>
    </row>
    <row r="9" spans="1:17" ht="15" customHeight="1">
      <c r="A9" s="160"/>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33</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00" t="s">
        <v>30</v>
      </c>
      <c r="P12" s="252"/>
      <c r="Q12" s="74"/>
    </row>
    <row r="13" spans="1:17" ht="15" customHeight="1">
      <c r="A13" s="255"/>
      <c r="B13" s="255"/>
      <c r="C13" s="255"/>
      <c r="D13" s="255"/>
      <c r="E13" s="255"/>
      <c r="F13" s="263"/>
      <c r="G13" s="252"/>
      <c r="H13" s="256"/>
      <c r="I13" s="200" t="s">
        <v>29</v>
      </c>
      <c r="J13" s="200" t="s">
        <v>28</v>
      </c>
      <c r="K13" s="200" t="s">
        <v>29</v>
      </c>
      <c r="L13" s="200" t="s">
        <v>28</v>
      </c>
      <c r="M13" s="200" t="s">
        <v>29</v>
      </c>
      <c r="N13" s="200" t="s">
        <v>28</v>
      </c>
      <c r="O13" s="200" t="s">
        <v>28</v>
      </c>
      <c r="P13" s="252"/>
      <c r="Q13" s="74"/>
    </row>
    <row r="14" spans="1:17" s="75" customFormat="1" ht="17.25" customHeight="1">
      <c r="A14" s="270">
        <v>1</v>
      </c>
      <c r="B14" s="271"/>
      <c r="C14" s="271"/>
      <c r="D14" s="271"/>
      <c r="E14" s="272"/>
      <c r="F14" s="201">
        <v>2</v>
      </c>
      <c r="G14" s="50">
        <v>3</v>
      </c>
      <c r="H14" s="194">
        <v>4</v>
      </c>
      <c r="I14" s="200">
        <v>5</v>
      </c>
      <c r="J14" s="200">
        <v>6</v>
      </c>
      <c r="K14" s="200">
        <v>8</v>
      </c>
      <c r="L14" s="200">
        <v>9</v>
      </c>
      <c r="M14" s="200">
        <v>11</v>
      </c>
      <c r="N14" s="200">
        <v>12</v>
      </c>
      <c r="O14" s="200">
        <v>13</v>
      </c>
      <c r="P14" s="200">
        <v>14</v>
      </c>
    </row>
    <row r="15" spans="1:17" s="49" customFormat="1" ht="23.25" customHeight="1">
      <c r="A15" s="36">
        <v>2</v>
      </c>
      <c r="B15" s="36">
        <v>8</v>
      </c>
      <c r="C15" s="36">
        <v>3</v>
      </c>
      <c r="D15" s="37"/>
      <c r="E15" s="36"/>
      <c r="F15" s="38" t="s">
        <v>85</v>
      </c>
      <c r="G15" s="47">
        <f>G16+G18</f>
        <v>69000000</v>
      </c>
      <c r="H15" s="40">
        <f t="shared" ref="H15:H34" si="0">+G15/$G$34*100%</f>
        <v>2.6053053077998309E-2</v>
      </c>
      <c r="I15" s="41">
        <f>'Maret DAK'!M15</f>
        <v>0</v>
      </c>
      <c r="J15" s="42">
        <f>'Maret DAK'!N15</f>
        <v>0</v>
      </c>
      <c r="K15" s="47">
        <f>K16+K18</f>
        <v>0</v>
      </c>
      <c r="L15" s="109">
        <f t="shared" ref="L15:L34" si="1">K15/G15*100</f>
        <v>0</v>
      </c>
      <c r="M15" s="39">
        <f>I15+K15</f>
        <v>0</v>
      </c>
      <c r="N15" s="43">
        <f t="shared" ref="N15:N34" si="2">M15/G15*100</f>
        <v>0</v>
      </c>
      <c r="O15" s="44"/>
      <c r="P15" s="39">
        <f t="shared" ref="P15:P34" si="3">G15-M15</f>
        <v>69000000</v>
      </c>
    </row>
    <row r="16" spans="1:17" s="106" customFormat="1" ht="36" customHeight="1">
      <c r="A16" s="5">
        <v>2</v>
      </c>
      <c r="B16" s="5">
        <v>8</v>
      </c>
      <c r="C16" s="5">
        <v>3</v>
      </c>
      <c r="D16" s="6" t="s">
        <v>8</v>
      </c>
      <c r="E16" s="5"/>
      <c r="F16" s="7" t="s">
        <v>164</v>
      </c>
      <c r="G16" s="45">
        <f>G17</f>
        <v>48500000</v>
      </c>
      <c r="H16" s="9">
        <f t="shared" si="0"/>
        <v>1.8312653250477071E-2</v>
      </c>
      <c r="I16" s="10">
        <f>'Maret DAK'!M16</f>
        <v>0</v>
      </c>
      <c r="J16" s="11">
        <f>'Maret DAK'!N16</f>
        <v>0</v>
      </c>
      <c r="K16" s="45">
        <f>K17</f>
        <v>0</v>
      </c>
      <c r="L16" s="108">
        <f t="shared" si="1"/>
        <v>0</v>
      </c>
      <c r="M16" s="8">
        <f t="shared" ref="M16:M33" si="4">I16+K16</f>
        <v>0</v>
      </c>
      <c r="N16" s="12">
        <f t="shared" si="2"/>
        <v>0</v>
      </c>
      <c r="O16" s="13"/>
      <c r="P16" s="8">
        <f t="shared" si="3"/>
        <v>48500000</v>
      </c>
    </row>
    <row r="17" spans="1:16" s="3" customFormat="1" ht="38.25" customHeight="1">
      <c r="A17" s="14">
        <v>2</v>
      </c>
      <c r="B17" s="14">
        <v>8</v>
      </c>
      <c r="C17" s="14">
        <v>3</v>
      </c>
      <c r="D17" s="15" t="s">
        <v>8</v>
      </c>
      <c r="E17" s="14">
        <v>1</v>
      </c>
      <c r="F17" s="16" t="s">
        <v>165</v>
      </c>
      <c r="G17" s="17">
        <v>48500000</v>
      </c>
      <c r="H17" s="18">
        <f t="shared" si="0"/>
        <v>1.8312653250477071E-2</v>
      </c>
      <c r="I17" s="19">
        <f>'Maret DAK'!M17</f>
        <v>0</v>
      </c>
      <c r="J17" s="190">
        <f>'Maret DAK'!N17</f>
        <v>0</v>
      </c>
      <c r="K17" s="21">
        <v>0</v>
      </c>
      <c r="L17" s="20">
        <f t="shared" si="1"/>
        <v>0</v>
      </c>
      <c r="M17" s="30">
        <f t="shared" si="4"/>
        <v>0</v>
      </c>
      <c r="N17" s="29">
        <f t="shared" si="2"/>
        <v>0</v>
      </c>
      <c r="O17" s="22"/>
      <c r="P17" s="21">
        <f t="shared" si="3"/>
        <v>48500000</v>
      </c>
    </row>
    <row r="18" spans="1:16" s="106" customFormat="1" ht="36" customHeight="1">
      <c r="A18" s="5">
        <v>2</v>
      </c>
      <c r="B18" s="5">
        <v>8</v>
      </c>
      <c r="C18" s="5">
        <v>3</v>
      </c>
      <c r="D18" s="6" t="s">
        <v>14</v>
      </c>
      <c r="E18" s="5"/>
      <c r="F18" s="7" t="s">
        <v>166</v>
      </c>
      <c r="G18" s="45">
        <f>G19</f>
        <v>20500000</v>
      </c>
      <c r="H18" s="9">
        <f t="shared" si="0"/>
        <v>7.7403998275212367E-3</v>
      </c>
      <c r="I18" s="10">
        <f>'Maret DAK'!M18</f>
        <v>0</v>
      </c>
      <c r="J18" s="11">
        <f>'Maret DAK'!N18</f>
        <v>0</v>
      </c>
      <c r="K18" s="45">
        <f>K19</f>
        <v>0</v>
      </c>
      <c r="L18" s="108">
        <f t="shared" si="1"/>
        <v>0</v>
      </c>
      <c r="M18" s="8">
        <f t="shared" si="4"/>
        <v>0</v>
      </c>
      <c r="N18" s="12">
        <f t="shared" si="2"/>
        <v>0</v>
      </c>
      <c r="O18" s="13"/>
      <c r="P18" s="8">
        <f t="shared" si="3"/>
        <v>20500000</v>
      </c>
    </row>
    <row r="19" spans="1:16" s="3" customFormat="1" ht="37.5" customHeight="1">
      <c r="A19" s="14">
        <v>2</v>
      </c>
      <c r="B19" s="14">
        <v>8</v>
      </c>
      <c r="C19" s="14">
        <v>3</v>
      </c>
      <c r="D19" s="15" t="s">
        <v>14</v>
      </c>
      <c r="E19" s="14">
        <v>2</v>
      </c>
      <c r="F19" s="16" t="s">
        <v>167</v>
      </c>
      <c r="G19" s="17">
        <f>20500000</f>
        <v>20500000</v>
      </c>
      <c r="H19" s="18">
        <f t="shared" si="0"/>
        <v>7.7403998275212367E-3</v>
      </c>
      <c r="I19" s="19">
        <f>'Maret DAK'!M19</f>
        <v>0</v>
      </c>
      <c r="J19" s="190">
        <f>'Maret DAK'!N19</f>
        <v>0</v>
      </c>
      <c r="K19" s="21">
        <v>0</v>
      </c>
      <c r="L19" s="20">
        <f t="shared" si="1"/>
        <v>0</v>
      </c>
      <c r="M19" s="30">
        <f t="shared" si="4"/>
        <v>0</v>
      </c>
      <c r="N19" s="29">
        <f t="shared" si="2"/>
        <v>0</v>
      </c>
      <c r="O19" s="22"/>
      <c r="P19" s="21">
        <f t="shared" si="3"/>
        <v>20500000</v>
      </c>
    </row>
    <row r="20" spans="1:16" s="49" customFormat="1" ht="23.25" customHeight="1">
      <c r="A20" s="36">
        <v>2</v>
      </c>
      <c r="B20" s="36">
        <v>8</v>
      </c>
      <c r="C20" s="36">
        <v>7</v>
      </c>
      <c r="D20" s="37"/>
      <c r="E20" s="36"/>
      <c r="F20" s="38" t="s">
        <v>109</v>
      </c>
      <c r="G20" s="47">
        <f>G21+G23</f>
        <v>101520000</v>
      </c>
      <c r="H20" s="40">
        <f t="shared" si="0"/>
        <v>3.8331970267802731E-2</v>
      </c>
      <c r="I20" s="41">
        <f>'Maret DAK'!M20</f>
        <v>0</v>
      </c>
      <c r="J20" s="42">
        <f>'Maret DAK'!N20</f>
        <v>0</v>
      </c>
      <c r="K20" s="47">
        <f>K21+K28</f>
        <v>14223856</v>
      </c>
      <c r="L20" s="43">
        <f t="shared" si="1"/>
        <v>14.010890464933018</v>
      </c>
      <c r="M20" s="39">
        <f t="shared" si="4"/>
        <v>14223856</v>
      </c>
      <c r="N20" s="43">
        <f t="shared" si="2"/>
        <v>14.010890464933018</v>
      </c>
      <c r="O20" s="44"/>
      <c r="P20" s="39">
        <f t="shared" si="3"/>
        <v>87296144</v>
      </c>
    </row>
    <row r="21" spans="1:16" s="106" customFormat="1" ht="34.5" customHeight="1">
      <c r="A21" s="5">
        <v>2</v>
      </c>
      <c r="B21" s="5">
        <v>8</v>
      </c>
      <c r="C21" s="5">
        <v>7</v>
      </c>
      <c r="D21" s="6" t="s">
        <v>8</v>
      </c>
      <c r="E21" s="5"/>
      <c r="F21" s="7" t="s">
        <v>168</v>
      </c>
      <c r="G21" s="45">
        <f>G22</f>
        <v>53000000</v>
      </c>
      <c r="H21" s="9">
        <f t="shared" si="0"/>
        <v>2.0011765407737834E-2</v>
      </c>
      <c r="I21" s="10">
        <f>'Maret DAK'!M21</f>
        <v>0</v>
      </c>
      <c r="J21" s="11">
        <f>'Maret DAK'!N21</f>
        <v>0</v>
      </c>
      <c r="K21" s="45">
        <f>K22</f>
        <v>600000</v>
      </c>
      <c r="L21" s="12">
        <f t="shared" si="1"/>
        <v>1.1320754716981132</v>
      </c>
      <c r="M21" s="8">
        <f t="shared" si="4"/>
        <v>600000</v>
      </c>
      <c r="N21" s="12">
        <f t="shared" si="2"/>
        <v>1.1320754716981132</v>
      </c>
      <c r="O21" s="13"/>
      <c r="P21" s="8">
        <f t="shared" si="3"/>
        <v>52400000</v>
      </c>
    </row>
    <row r="22" spans="1:16" s="3" customFormat="1" ht="36.75" customHeight="1">
      <c r="A22" s="14">
        <v>2</v>
      </c>
      <c r="B22" s="14">
        <v>8</v>
      </c>
      <c r="C22" s="14">
        <v>7</v>
      </c>
      <c r="D22" s="15" t="s">
        <v>8</v>
      </c>
      <c r="E22" s="14">
        <v>2</v>
      </c>
      <c r="F22" s="16" t="s">
        <v>169</v>
      </c>
      <c r="G22" s="17">
        <f>53000000</f>
        <v>53000000</v>
      </c>
      <c r="H22" s="18">
        <f t="shared" si="0"/>
        <v>2.0011765407737834E-2</v>
      </c>
      <c r="I22" s="19">
        <f>'Maret DAK'!M22</f>
        <v>0</v>
      </c>
      <c r="J22" s="190">
        <f>'Maret DAK'!N22</f>
        <v>0</v>
      </c>
      <c r="K22" s="21">
        <f>300000+300000</f>
        <v>600000</v>
      </c>
      <c r="L22" s="20">
        <f t="shared" si="1"/>
        <v>1.1320754716981132</v>
      </c>
      <c r="M22" s="21">
        <f t="shared" si="4"/>
        <v>600000</v>
      </c>
      <c r="N22" s="20">
        <f t="shared" si="2"/>
        <v>1.1320754716981132</v>
      </c>
      <c r="O22" s="22"/>
      <c r="P22" s="21">
        <f t="shared" si="3"/>
        <v>52400000</v>
      </c>
    </row>
    <row r="23" spans="1:16" s="106" customFormat="1" ht="48.75" customHeight="1">
      <c r="A23" s="5">
        <v>2</v>
      </c>
      <c r="B23" s="5">
        <v>8</v>
      </c>
      <c r="C23" s="5">
        <v>7</v>
      </c>
      <c r="D23" s="6" t="s">
        <v>14</v>
      </c>
      <c r="E23" s="5"/>
      <c r="F23" s="7" t="s">
        <v>170</v>
      </c>
      <c r="G23" s="45">
        <f>G24</f>
        <v>48520000</v>
      </c>
      <c r="H23" s="9">
        <f t="shared" si="0"/>
        <v>1.8320204860064897E-2</v>
      </c>
      <c r="I23" s="10">
        <f>'Maret DAK'!M23</f>
        <v>0</v>
      </c>
      <c r="J23" s="11">
        <f>'Maret DAK'!N23</f>
        <v>0</v>
      </c>
      <c r="K23" s="45">
        <f>K24</f>
        <v>0</v>
      </c>
      <c r="L23" s="108">
        <f t="shared" si="1"/>
        <v>0</v>
      </c>
      <c r="M23" s="8">
        <f t="shared" si="4"/>
        <v>0</v>
      </c>
      <c r="N23" s="12">
        <f t="shared" si="2"/>
        <v>0</v>
      </c>
      <c r="O23" s="13"/>
      <c r="P23" s="8">
        <f t="shared" si="3"/>
        <v>48520000</v>
      </c>
    </row>
    <row r="24" spans="1:16" s="3" customFormat="1" ht="40.5" customHeight="1">
      <c r="A24" s="14">
        <v>2</v>
      </c>
      <c r="B24" s="14">
        <v>8</v>
      </c>
      <c r="C24" s="14">
        <v>7</v>
      </c>
      <c r="D24" s="15" t="s">
        <v>14</v>
      </c>
      <c r="E24" s="14">
        <v>8</v>
      </c>
      <c r="F24" s="191" t="s">
        <v>171</v>
      </c>
      <c r="G24" s="17">
        <f>48520000</f>
        <v>48520000</v>
      </c>
      <c r="H24" s="18">
        <f t="shared" si="0"/>
        <v>1.8320204860064897E-2</v>
      </c>
      <c r="I24" s="19">
        <f>'Maret DAK'!M24</f>
        <v>0</v>
      </c>
      <c r="J24" s="190">
        <f>'Maret DAK'!N24</f>
        <v>0</v>
      </c>
      <c r="K24" s="21">
        <v>0</v>
      </c>
      <c r="L24" s="20">
        <f t="shared" si="1"/>
        <v>0</v>
      </c>
      <c r="M24" s="30">
        <f t="shared" si="4"/>
        <v>0</v>
      </c>
      <c r="N24" s="29">
        <f t="shared" si="2"/>
        <v>0</v>
      </c>
      <c r="O24" s="22"/>
      <c r="P24" s="21">
        <f t="shared" si="3"/>
        <v>48520000</v>
      </c>
    </row>
    <row r="25" spans="1:16" s="3" customFormat="1" ht="28.5" customHeight="1">
      <c r="A25" s="36">
        <v>2</v>
      </c>
      <c r="B25" s="36">
        <v>14</v>
      </c>
      <c r="C25" s="36">
        <v>4</v>
      </c>
      <c r="D25" s="37"/>
      <c r="E25" s="36"/>
      <c r="F25" s="193" t="s">
        <v>9</v>
      </c>
      <c r="G25" s="47">
        <f>G26</f>
        <v>200000000</v>
      </c>
      <c r="H25" s="40">
        <f t="shared" si="0"/>
        <v>7.5516095878255973E-2</v>
      </c>
      <c r="I25" s="41">
        <f>'Maret DAK'!M25</f>
        <v>0</v>
      </c>
      <c r="J25" s="42">
        <f>'Maret DAK'!N25</f>
        <v>0</v>
      </c>
      <c r="K25" s="47">
        <f>K26+K33</f>
        <v>22455856</v>
      </c>
      <c r="L25" s="109">
        <f t="shared" si="1"/>
        <v>11.227928</v>
      </c>
      <c r="M25" s="39">
        <f t="shared" si="4"/>
        <v>22455856</v>
      </c>
      <c r="N25" s="43">
        <f t="shared" si="2"/>
        <v>11.227928</v>
      </c>
      <c r="O25" s="44"/>
      <c r="P25" s="39">
        <f t="shared" si="3"/>
        <v>177544144</v>
      </c>
    </row>
    <row r="26" spans="1:16" s="3" customFormat="1" ht="36.75" customHeight="1">
      <c r="A26" s="5">
        <v>2</v>
      </c>
      <c r="B26" s="5">
        <v>14</v>
      </c>
      <c r="C26" s="5">
        <v>4</v>
      </c>
      <c r="D26" s="6" t="s">
        <v>8</v>
      </c>
      <c r="E26" s="5"/>
      <c r="F26" s="167" t="s">
        <v>172</v>
      </c>
      <c r="G26" s="45">
        <f>G27</f>
        <v>200000000</v>
      </c>
      <c r="H26" s="9">
        <f t="shared" si="0"/>
        <v>7.5516095878255973E-2</v>
      </c>
      <c r="I26" s="10">
        <f>'Maret DAK'!M26</f>
        <v>0</v>
      </c>
      <c r="J26" s="11">
        <f>'Maret DAK'!N26</f>
        <v>0</v>
      </c>
      <c r="K26" s="45">
        <f>K28</f>
        <v>13623856</v>
      </c>
      <c r="L26" s="108">
        <f t="shared" si="1"/>
        <v>6.811928</v>
      </c>
      <c r="M26" s="8">
        <f t="shared" si="4"/>
        <v>13623856</v>
      </c>
      <c r="N26" s="12">
        <f t="shared" si="2"/>
        <v>6.811928</v>
      </c>
      <c r="O26" s="13"/>
      <c r="P26" s="8">
        <f t="shared" si="3"/>
        <v>186376144</v>
      </c>
    </row>
    <row r="27" spans="1:16" s="3" customFormat="1" ht="37.5" customHeight="1">
      <c r="A27" s="14">
        <v>2</v>
      </c>
      <c r="B27" s="14">
        <v>14</v>
      </c>
      <c r="C27" s="14">
        <v>4</v>
      </c>
      <c r="D27" s="15" t="s">
        <v>8</v>
      </c>
      <c r="E27" s="14">
        <v>17</v>
      </c>
      <c r="F27" s="166" t="s">
        <v>163</v>
      </c>
      <c r="G27" s="17">
        <v>200000000</v>
      </c>
      <c r="H27" s="18">
        <f t="shared" si="0"/>
        <v>7.5516095878255973E-2</v>
      </c>
      <c r="I27" s="19">
        <f>'Maret DAK'!M27</f>
        <v>0</v>
      </c>
      <c r="J27" s="190">
        <f>'Maret DAK'!N27</f>
        <v>0</v>
      </c>
      <c r="K27" s="164"/>
      <c r="L27" s="20"/>
      <c r="M27" s="30">
        <f>I27+K27</f>
        <v>0</v>
      </c>
      <c r="N27" s="29"/>
      <c r="O27" s="165"/>
      <c r="P27" s="21">
        <f>G27-M27</f>
        <v>200000000</v>
      </c>
    </row>
    <row r="28" spans="1:16" s="49" customFormat="1" ht="23.25" customHeight="1">
      <c r="A28" s="36">
        <v>2</v>
      </c>
      <c r="B28" s="36">
        <v>8</v>
      </c>
      <c r="C28" s="36">
        <v>3</v>
      </c>
      <c r="D28" s="37"/>
      <c r="E28" s="36"/>
      <c r="F28" s="38" t="s">
        <v>83</v>
      </c>
      <c r="G28" s="46">
        <f>G29</f>
        <v>2095374000</v>
      </c>
      <c r="H28" s="40">
        <f t="shared" si="0"/>
        <v>0.79117231942402366</v>
      </c>
      <c r="I28" s="41">
        <f>'Maret DAK'!M28</f>
        <v>0</v>
      </c>
      <c r="J28" s="42">
        <f>'Maret DAK'!N28</f>
        <v>0</v>
      </c>
      <c r="K28" s="46">
        <f>K29</f>
        <v>13623856</v>
      </c>
      <c r="L28" s="43">
        <f t="shared" si="1"/>
        <v>0.65018731739536706</v>
      </c>
      <c r="M28" s="39">
        <f t="shared" si="4"/>
        <v>13623856</v>
      </c>
      <c r="N28" s="43">
        <f t="shared" si="2"/>
        <v>0.65018731739536706</v>
      </c>
      <c r="O28" s="44"/>
      <c r="P28" s="39">
        <f t="shared" si="3"/>
        <v>2081750144</v>
      </c>
    </row>
    <row r="29" spans="1:16" s="106" customFormat="1" ht="51" customHeight="1">
      <c r="A29" s="5">
        <v>2</v>
      </c>
      <c r="B29" s="5">
        <v>8</v>
      </c>
      <c r="C29" s="5">
        <v>3</v>
      </c>
      <c r="D29" s="6" t="s">
        <v>7</v>
      </c>
      <c r="E29" s="5"/>
      <c r="F29" s="7" t="s">
        <v>176</v>
      </c>
      <c r="G29" s="45">
        <f>G30</f>
        <v>2095374000</v>
      </c>
      <c r="H29" s="9">
        <f t="shared" si="0"/>
        <v>0.79117231942402366</v>
      </c>
      <c r="I29" s="10">
        <f>'Maret DAK'!M29</f>
        <v>0</v>
      </c>
      <c r="J29" s="11">
        <f>'Maret DAK'!N29</f>
        <v>0</v>
      </c>
      <c r="K29" s="45">
        <f>K30</f>
        <v>13623856</v>
      </c>
      <c r="L29" s="12">
        <f t="shared" si="1"/>
        <v>0.65018731739536706</v>
      </c>
      <c r="M29" s="8">
        <f t="shared" si="4"/>
        <v>13623856</v>
      </c>
      <c r="N29" s="12">
        <f t="shared" si="2"/>
        <v>0.65018731739536706</v>
      </c>
      <c r="O29" s="13"/>
      <c r="P29" s="8">
        <f t="shared" si="3"/>
        <v>2081750144</v>
      </c>
    </row>
    <row r="30" spans="1:16" s="3" customFormat="1" ht="39.75" customHeight="1">
      <c r="A30" s="14">
        <v>2</v>
      </c>
      <c r="B30" s="14">
        <v>8</v>
      </c>
      <c r="C30" s="14">
        <v>3</v>
      </c>
      <c r="D30" s="15" t="s">
        <v>7</v>
      </c>
      <c r="E30" s="14">
        <v>2</v>
      </c>
      <c r="F30" s="16" t="s">
        <v>177</v>
      </c>
      <c r="G30" s="17">
        <v>2095374000</v>
      </c>
      <c r="H30" s="18">
        <f t="shared" si="0"/>
        <v>0.79117231942402366</v>
      </c>
      <c r="I30" s="19">
        <f>'Maret DAK'!M30</f>
        <v>0</v>
      </c>
      <c r="J30" s="190">
        <f>'Maret DAK'!N30</f>
        <v>0</v>
      </c>
      <c r="K30" s="21">
        <f>2250000+5601856+150000+1170000+390000+420000+150000+22000+300000+80000+1290000+1800000</f>
        <v>13623856</v>
      </c>
      <c r="L30" s="20">
        <f t="shared" si="1"/>
        <v>0.65018731739536706</v>
      </c>
      <c r="M30" s="21">
        <f t="shared" si="4"/>
        <v>13623856</v>
      </c>
      <c r="N30" s="20">
        <f t="shared" si="2"/>
        <v>0.65018731739536706</v>
      </c>
      <c r="O30" s="22"/>
      <c r="P30" s="21">
        <f t="shared" si="3"/>
        <v>2081750144</v>
      </c>
    </row>
    <row r="31" spans="1:16" s="49" customFormat="1" ht="23.25" customHeight="1">
      <c r="A31" s="36">
        <v>2</v>
      </c>
      <c r="B31" s="36">
        <v>8</v>
      </c>
      <c r="C31" s="36">
        <v>7</v>
      </c>
      <c r="D31" s="37"/>
      <c r="E31" s="36"/>
      <c r="F31" s="38" t="s">
        <v>84</v>
      </c>
      <c r="G31" s="46">
        <f>G32</f>
        <v>182548000</v>
      </c>
      <c r="H31" s="40">
        <f t="shared" si="0"/>
        <v>6.8926561351919352E-2</v>
      </c>
      <c r="I31" s="41">
        <f>'Maret DAK'!M31</f>
        <v>0</v>
      </c>
      <c r="J31" s="42">
        <f>'Maret DAK'!N31</f>
        <v>0</v>
      </c>
      <c r="K31" s="46">
        <f>K32</f>
        <v>8832000</v>
      </c>
      <c r="L31" s="43">
        <f t="shared" si="1"/>
        <v>4.8381795472971492</v>
      </c>
      <c r="M31" s="39">
        <f t="shared" si="4"/>
        <v>8832000</v>
      </c>
      <c r="N31" s="43">
        <f t="shared" si="2"/>
        <v>4.8381795472971492</v>
      </c>
      <c r="O31" s="44"/>
      <c r="P31" s="39">
        <f t="shared" si="3"/>
        <v>173716000</v>
      </c>
    </row>
    <row r="32" spans="1:16" s="106" customFormat="1" ht="36.75" customHeight="1">
      <c r="A32" s="5">
        <v>2</v>
      </c>
      <c r="B32" s="5">
        <v>8</v>
      </c>
      <c r="C32" s="5">
        <v>7</v>
      </c>
      <c r="D32" s="6" t="s">
        <v>7</v>
      </c>
      <c r="E32" s="5"/>
      <c r="F32" s="7" t="s">
        <v>174</v>
      </c>
      <c r="G32" s="45">
        <f>G33</f>
        <v>182548000</v>
      </c>
      <c r="H32" s="9">
        <f t="shared" si="0"/>
        <v>6.8926561351919352E-2</v>
      </c>
      <c r="I32" s="10">
        <f>'Maret DAK'!M32</f>
        <v>0</v>
      </c>
      <c r="J32" s="11">
        <f>'Maret DAK'!N32</f>
        <v>0</v>
      </c>
      <c r="K32" s="45">
        <f>K33</f>
        <v>8832000</v>
      </c>
      <c r="L32" s="12">
        <f t="shared" si="1"/>
        <v>4.8381795472971492</v>
      </c>
      <c r="M32" s="8">
        <f t="shared" si="4"/>
        <v>8832000</v>
      </c>
      <c r="N32" s="12">
        <f t="shared" si="2"/>
        <v>4.8381795472971492</v>
      </c>
      <c r="O32" s="13"/>
      <c r="P32" s="8">
        <f t="shared" si="3"/>
        <v>173716000</v>
      </c>
    </row>
    <row r="33" spans="1:20" s="3" customFormat="1" ht="30.75" customHeight="1">
      <c r="A33" s="14">
        <v>2</v>
      </c>
      <c r="B33" s="14">
        <v>8</v>
      </c>
      <c r="C33" s="14">
        <v>7</v>
      </c>
      <c r="D33" s="15" t="s">
        <v>7</v>
      </c>
      <c r="E33" s="14">
        <v>6</v>
      </c>
      <c r="F33" s="168" t="s">
        <v>175</v>
      </c>
      <c r="G33" s="17">
        <v>182548000</v>
      </c>
      <c r="H33" s="18">
        <f t="shared" si="0"/>
        <v>6.8926561351919352E-2</v>
      </c>
      <c r="I33" s="19">
        <f>'Maret DAK'!M33</f>
        <v>0</v>
      </c>
      <c r="J33" s="190">
        <f>'Maret DAK'!N33</f>
        <v>0</v>
      </c>
      <c r="K33" s="21">
        <f>750000+300000+90000+30000+360000+120000+90000+30000+60000+42000+300000+300000+1350000+900000+1470000+1290000+1350000</f>
        <v>8832000</v>
      </c>
      <c r="L33" s="20">
        <f t="shared" si="1"/>
        <v>4.8381795472971492</v>
      </c>
      <c r="M33" s="21">
        <f t="shared" si="4"/>
        <v>8832000</v>
      </c>
      <c r="N33" s="20">
        <f t="shared" si="2"/>
        <v>4.8381795472971492</v>
      </c>
      <c r="O33" s="22"/>
      <c r="P33" s="21">
        <f t="shared" si="3"/>
        <v>173716000</v>
      </c>
    </row>
    <row r="34" spans="1:20" s="58" customFormat="1" ht="27" customHeight="1">
      <c r="A34" s="50"/>
      <c r="B34" s="50"/>
      <c r="C34" s="50"/>
      <c r="D34" s="51"/>
      <c r="E34" s="52"/>
      <c r="F34" s="53" t="s">
        <v>48</v>
      </c>
      <c r="G34" s="54">
        <f>G16+G18+G21+G23+G26+G29+G32</f>
        <v>2648442000</v>
      </c>
      <c r="H34" s="114">
        <f t="shared" si="0"/>
        <v>1</v>
      </c>
      <c r="I34" s="195">
        <f>'Maret DAK'!M34</f>
        <v>0</v>
      </c>
      <c r="J34" s="55">
        <f>'Maret DAK'!N34</f>
        <v>0</v>
      </c>
      <c r="K34" s="54">
        <f>K15+K20+K28+K31</f>
        <v>36679712</v>
      </c>
      <c r="L34" s="56">
        <f t="shared" si="1"/>
        <v>1.384954324089408</v>
      </c>
      <c r="M34" s="54">
        <f>M15+M20+M28+M31</f>
        <v>36679712</v>
      </c>
      <c r="N34" s="56">
        <f t="shared" si="2"/>
        <v>1.384954324089408</v>
      </c>
      <c r="O34" s="57"/>
      <c r="P34" s="116">
        <f t="shared" si="3"/>
        <v>2611762288</v>
      </c>
    </row>
    <row r="35" spans="1:20" s="3" customFormat="1">
      <c r="A35" s="161"/>
      <c r="B35" s="78"/>
      <c r="C35" s="78"/>
      <c r="D35" s="31"/>
      <c r="E35" s="32"/>
      <c r="F35" s="33"/>
      <c r="G35" s="34"/>
      <c r="H35" s="79"/>
      <c r="I35" s="80" t="s">
        <v>0</v>
      </c>
      <c r="J35" s="80"/>
      <c r="K35" s="203" t="s">
        <v>186</v>
      </c>
      <c r="L35" s="80"/>
      <c r="M35" s="80"/>
      <c r="N35" s="80"/>
      <c r="O35" s="81"/>
      <c r="P35" s="80"/>
    </row>
    <row r="36" spans="1:20" s="3" customFormat="1" ht="17.25" customHeight="1">
      <c r="A36" s="162"/>
      <c r="B36" s="82"/>
      <c r="C36" s="78"/>
      <c r="D36" s="83"/>
      <c r="E36" s="80"/>
      <c r="F36" s="80"/>
      <c r="G36" s="117"/>
      <c r="H36" s="79"/>
      <c r="I36" s="84"/>
      <c r="J36" s="80"/>
      <c r="K36" s="80"/>
      <c r="L36" s="80"/>
      <c r="M36" s="250"/>
      <c r="N36" s="250"/>
      <c r="O36" s="250"/>
      <c r="P36" s="85" t="s">
        <v>0</v>
      </c>
    </row>
    <row r="37" spans="1:20" s="3" customFormat="1" ht="18" customHeight="1">
      <c r="A37" s="162"/>
      <c r="B37" s="82"/>
      <c r="C37" s="78"/>
      <c r="D37" s="83"/>
      <c r="E37" s="32"/>
      <c r="F37" s="32"/>
      <c r="G37" s="86"/>
      <c r="H37" s="79"/>
      <c r="I37" s="80"/>
      <c r="J37" s="80"/>
      <c r="K37" s="80"/>
      <c r="L37" s="80"/>
      <c r="M37" s="244" t="s">
        <v>183</v>
      </c>
      <c r="N37" s="244"/>
      <c r="O37" s="244"/>
      <c r="P37" s="87"/>
    </row>
    <row r="38" spans="1:20" s="3" customFormat="1">
      <c r="A38" s="129"/>
      <c r="B38" s="88"/>
      <c r="C38" s="89"/>
      <c r="D38" s="90"/>
      <c r="E38" s="1"/>
      <c r="F38" s="1"/>
      <c r="G38" s="1"/>
      <c r="H38" s="91"/>
      <c r="I38" s="1"/>
      <c r="M38" s="250" t="s">
        <v>139</v>
      </c>
      <c r="N38" s="250"/>
      <c r="O38" s="250"/>
    </row>
    <row r="39" spans="1:20" s="3" customFormat="1">
      <c r="A39" s="129"/>
      <c r="B39" s="88"/>
      <c r="C39" s="89"/>
      <c r="D39" s="90"/>
      <c r="E39" s="1"/>
      <c r="F39" s="1"/>
      <c r="G39" s="2"/>
      <c r="H39" s="91"/>
      <c r="I39" s="1"/>
      <c r="M39" s="251"/>
      <c r="N39" s="251"/>
      <c r="O39" s="251"/>
    </row>
    <row r="40" spans="1:20" s="3" customFormat="1" ht="15" customHeight="1">
      <c r="A40" s="129"/>
      <c r="B40" s="88"/>
      <c r="C40" s="89"/>
      <c r="D40" s="90"/>
      <c r="E40" s="1"/>
      <c r="F40" s="1"/>
      <c r="G40" s="1"/>
      <c r="H40" s="91"/>
      <c r="I40" s="1"/>
      <c r="M40" s="246"/>
      <c r="N40" s="246"/>
      <c r="O40" s="246"/>
    </row>
    <row r="41" spans="1:20" s="3" customFormat="1" ht="15" customHeight="1">
      <c r="A41" s="129" t="s">
        <v>0</v>
      </c>
      <c r="B41" s="88"/>
      <c r="C41" s="89"/>
      <c r="D41" s="90"/>
      <c r="E41" s="1"/>
      <c r="F41" s="1"/>
      <c r="G41" s="92"/>
      <c r="H41" s="91"/>
      <c r="M41" s="245" t="s">
        <v>194</v>
      </c>
      <c r="N41" s="245"/>
      <c r="O41" s="245"/>
    </row>
    <row r="42" spans="1:20" s="64" customFormat="1">
      <c r="A42" s="163"/>
      <c r="B42" s="94"/>
      <c r="C42" s="95"/>
      <c r="D42" s="96"/>
      <c r="E42" s="93"/>
      <c r="F42" s="93"/>
      <c r="G42" s="97"/>
      <c r="H42" s="98"/>
      <c r="M42" s="242" t="s">
        <v>196</v>
      </c>
      <c r="N42" s="242"/>
      <c r="O42" s="242"/>
      <c r="Q42" s="59"/>
      <c r="R42" s="59"/>
      <c r="S42" s="59"/>
      <c r="T42" s="59"/>
    </row>
    <row r="43" spans="1:20" s="64" customFormat="1">
      <c r="A43" s="163"/>
      <c r="B43" s="94"/>
      <c r="C43" s="95"/>
      <c r="D43" s="96"/>
      <c r="E43" s="93"/>
      <c r="F43" s="93"/>
      <c r="G43" s="97"/>
      <c r="H43" s="98"/>
      <c r="M43" s="242" t="s">
        <v>195</v>
      </c>
      <c r="N43" s="242"/>
      <c r="O43" s="242"/>
      <c r="Q43" s="59"/>
      <c r="R43" s="59"/>
      <c r="S43" s="59"/>
      <c r="T43" s="59"/>
    </row>
    <row r="44" spans="1:20" s="64" customFormat="1">
      <c r="A44" s="163"/>
      <c r="B44" s="94"/>
      <c r="C44" s="95"/>
      <c r="D44" s="96"/>
      <c r="E44" s="93"/>
      <c r="F44" s="93"/>
      <c r="G44" s="97"/>
      <c r="H44" s="98"/>
      <c r="M44" s="242"/>
      <c r="N44" s="242"/>
      <c r="O44" s="242"/>
      <c r="Q44" s="59"/>
      <c r="R44" s="59"/>
      <c r="S44" s="59"/>
      <c r="T44" s="59"/>
    </row>
    <row r="45" spans="1:20" s="64" customFormat="1">
      <c r="A45" s="163"/>
      <c r="B45" s="94"/>
      <c r="C45" s="95"/>
      <c r="D45" s="96"/>
      <c r="E45" s="93"/>
      <c r="F45" s="93"/>
      <c r="G45" s="97"/>
      <c r="H45" s="98"/>
      <c r="Q45" s="59"/>
      <c r="R45" s="59"/>
      <c r="S45" s="59"/>
      <c r="T45" s="59"/>
    </row>
  </sheetData>
  <mergeCells count="35">
    <mergeCell ref="A1:P1"/>
    <mergeCell ref="A2:P2"/>
    <mergeCell ref="A3:P3"/>
    <mergeCell ref="A5:E5"/>
    <mergeCell ref="A6:E6"/>
    <mergeCell ref="F6:P6"/>
    <mergeCell ref="A14:E14"/>
    <mergeCell ref="A7:E7"/>
    <mergeCell ref="A8:E8"/>
    <mergeCell ref="A10:E10"/>
    <mergeCell ref="F10:F1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M36:O36"/>
    <mergeCell ref="M44:O44"/>
    <mergeCell ref="M38:O38"/>
    <mergeCell ref="M39:O39"/>
    <mergeCell ref="M40:O40"/>
    <mergeCell ref="M41:O41"/>
    <mergeCell ref="M42:O42"/>
    <mergeCell ref="M43:O43"/>
    <mergeCell ref="M37:O37"/>
  </mergeCells>
  <pageMargins left="0.7" right="0.7" top="0.75" bottom="0.75" header="0.3" footer="0.3"/>
  <pageSetup paperSize="5" scale="22" orientation="landscape" horizontalDpi="4294967292" verticalDpi="4294967295" r:id="rId1"/>
  <rowBreaks count="1" manualBreakCount="1">
    <brk id="44" max="17" man="1"/>
  </rowBreaks>
</worksheet>
</file>

<file path=xl/worksheets/sheet13.xml><?xml version="1.0" encoding="utf-8"?>
<worksheet xmlns="http://schemas.openxmlformats.org/spreadsheetml/2006/main" xmlns:r="http://schemas.openxmlformats.org/officeDocument/2006/relationships">
  <dimension ref="A1:T45"/>
  <sheetViews>
    <sheetView showGridLines="0" view="pageBreakPreview" topLeftCell="F7" zoomScaleNormal="100" zoomScaleSheetLayoutView="100" workbookViewId="0">
      <selection activeCell="J43" sqref="J43"/>
    </sheetView>
  </sheetViews>
  <sheetFormatPr defaultColWidth="9.140625" defaultRowHeight="15"/>
  <cols>
    <col min="1" max="1" width="3.5703125" style="64" customWidth="1"/>
    <col min="2" max="2" width="3.85546875" style="100" customWidth="1"/>
    <col min="3" max="3" width="3.7109375" style="100" customWidth="1"/>
    <col min="4" max="4" width="4.140625" style="101" customWidth="1"/>
    <col min="5" max="5" width="3.140625" style="99" customWidth="1"/>
    <col min="6" max="6" width="68.140625" style="99" customWidth="1"/>
    <col min="7" max="7" width="14.42578125" style="102" customWidth="1"/>
    <col min="8" max="8" width="10" style="63" customWidth="1"/>
    <col min="9" max="9" width="14" style="64" customWidth="1"/>
    <col min="10" max="10" width="7.7109375" style="64" customWidth="1"/>
    <col min="11" max="11" width="12.28515625" style="64" customWidth="1"/>
    <col min="12" max="12" width="8.140625" style="64" customWidth="1"/>
    <col min="13" max="13" width="14.28515625" style="64" customWidth="1"/>
    <col min="14" max="14" width="7.42578125" style="64" customWidth="1"/>
    <col min="15" max="15" width="7.85546875" style="64" customWidth="1"/>
    <col min="16" max="16" width="15.14062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161</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160"/>
      <c r="B4" s="60"/>
      <c r="C4" s="60"/>
      <c r="D4" s="61"/>
      <c r="E4" s="60"/>
      <c r="F4" s="60"/>
      <c r="G4" s="62"/>
    </row>
    <row r="5" spans="1:17" ht="15" customHeight="1">
      <c r="A5" s="257" t="s">
        <v>42</v>
      </c>
      <c r="B5" s="257"/>
      <c r="C5" s="257"/>
      <c r="D5" s="257"/>
      <c r="E5" s="257"/>
      <c r="F5" s="65" t="s">
        <v>44</v>
      </c>
      <c r="G5" s="66"/>
      <c r="H5" s="66"/>
      <c r="I5" s="66"/>
      <c r="J5" s="66"/>
      <c r="K5" s="66"/>
      <c r="L5" s="66"/>
      <c r="M5" s="66"/>
      <c r="N5" s="66"/>
      <c r="O5" s="66"/>
      <c r="P5" s="66"/>
    </row>
    <row r="6" spans="1:17" ht="15" customHeight="1">
      <c r="A6" s="267" t="s">
        <v>162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04" t="s">
        <v>45</v>
      </c>
      <c r="G7" s="68"/>
      <c r="H7" s="69"/>
      <c r="I7" s="70"/>
      <c r="J7" s="70"/>
      <c r="K7" s="70"/>
      <c r="L7" s="70"/>
      <c r="M7" s="70"/>
      <c r="N7" s="70"/>
      <c r="O7" s="70"/>
      <c r="P7" s="70"/>
    </row>
    <row r="8" spans="1:17" ht="15" customHeight="1">
      <c r="A8" s="257" t="s">
        <v>40</v>
      </c>
      <c r="B8" s="257"/>
      <c r="C8" s="257"/>
      <c r="D8" s="257"/>
      <c r="E8" s="257"/>
      <c r="F8" s="204" t="s">
        <v>190</v>
      </c>
      <c r="G8" s="68"/>
      <c r="H8" s="69"/>
      <c r="I8" s="70"/>
      <c r="J8" s="70"/>
      <c r="K8" s="70"/>
      <c r="L8" s="70"/>
      <c r="M8" s="70"/>
      <c r="N8" s="70"/>
      <c r="O8" s="70"/>
      <c r="P8" s="70"/>
    </row>
    <row r="9" spans="1:17" ht="15" customHeight="1">
      <c r="A9" s="160"/>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33</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06" t="s">
        <v>30</v>
      </c>
      <c r="P12" s="252"/>
      <c r="Q12" s="74"/>
    </row>
    <row r="13" spans="1:17" ht="15" customHeight="1">
      <c r="A13" s="255"/>
      <c r="B13" s="255"/>
      <c r="C13" s="255"/>
      <c r="D13" s="255"/>
      <c r="E13" s="255"/>
      <c r="F13" s="263"/>
      <c r="G13" s="252"/>
      <c r="H13" s="256"/>
      <c r="I13" s="206" t="s">
        <v>29</v>
      </c>
      <c r="J13" s="206" t="s">
        <v>28</v>
      </c>
      <c r="K13" s="206" t="s">
        <v>29</v>
      </c>
      <c r="L13" s="206" t="s">
        <v>28</v>
      </c>
      <c r="M13" s="206" t="s">
        <v>29</v>
      </c>
      <c r="N13" s="206" t="s">
        <v>28</v>
      </c>
      <c r="O13" s="206" t="s">
        <v>28</v>
      </c>
      <c r="P13" s="252"/>
      <c r="Q13" s="74"/>
    </row>
    <row r="14" spans="1:17" s="75" customFormat="1" ht="17.25" customHeight="1">
      <c r="A14" s="270">
        <v>1</v>
      </c>
      <c r="B14" s="271"/>
      <c r="C14" s="271"/>
      <c r="D14" s="271"/>
      <c r="E14" s="272"/>
      <c r="F14" s="205">
        <v>2</v>
      </c>
      <c r="G14" s="50">
        <v>3</v>
      </c>
      <c r="H14" s="194">
        <v>4</v>
      </c>
      <c r="I14" s="206">
        <v>5</v>
      </c>
      <c r="J14" s="206">
        <v>6</v>
      </c>
      <c r="K14" s="206">
        <v>8</v>
      </c>
      <c r="L14" s="206">
        <v>9</v>
      </c>
      <c r="M14" s="206">
        <v>11</v>
      </c>
      <c r="N14" s="206">
        <v>12</v>
      </c>
      <c r="O14" s="206">
        <v>13</v>
      </c>
      <c r="P14" s="206">
        <v>14</v>
      </c>
    </row>
    <row r="15" spans="1:17" s="49" customFormat="1" ht="23.25" customHeight="1">
      <c r="A15" s="36">
        <v>2</v>
      </c>
      <c r="B15" s="36">
        <v>8</v>
      </c>
      <c r="C15" s="36">
        <v>3</v>
      </c>
      <c r="D15" s="37"/>
      <c r="E15" s="36"/>
      <c r="F15" s="38" t="s">
        <v>85</v>
      </c>
      <c r="G15" s="47">
        <f>G16+G18</f>
        <v>69000000</v>
      </c>
      <c r="H15" s="40">
        <f t="shared" ref="H15:H34" si="0">+G15/$G$34*100%</f>
        <v>2.6053053077998309E-2</v>
      </c>
      <c r="I15" s="41">
        <f>'April DAK'!M15</f>
        <v>0</v>
      </c>
      <c r="J15" s="42">
        <f>'April DAK'!N15</f>
        <v>0</v>
      </c>
      <c r="K15" s="47">
        <f>K16+K18</f>
        <v>0</v>
      </c>
      <c r="L15" s="109">
        <f t="shared" ref="L15:L34" si="1">K15/G15*100</f>
        <v>0</v>
      </c>
      <c r="M15" s="39">
        <f>I15+K15</f>
        <v>0</v>
      </c>
      <c r="N15" s="43">
        <f t="shared" ref="N15:N34" si="2">M15/G15*100</f>
        <v>0</v>
      </c>
      <c r="O15" s="44"/>
      <c r="P15" s="39">
        <f t="shared" ref="P15:P34" si="3">G15-M15</f>
        <v>69000000</v>
      </c>
    </row>
    <row r="16" spans="1:17" s="106" customFormat="1" ht="36" customHeight="1">
      <c r="A16" s="5">
        <v>2</v>
      </c>
      <c r="B16" s="5">
        <v>8</v>
      </c>
      <c r="C16" s="5">
        <v>3</v>
      </c>
      <c r="D16" s="6" t="s">
        <v>8</v>
      </c>
      <c r="E16" s="5"/>
      <c r="F16" s="7" t="s">
        <v>164</v>
      </c>
      <c r="G16" s="45">
        <f>G17</f>
        <v>48500000</v>
      </c>
      <c r="H16" s="9">
        <f t="shared" si="0"/>
        <v>1.8312653250477071E-2</v>
      </c>
      <c r="I16" s="10">
        <f>'April DAK'!M16</f>
        <v>0</v>
      </c>
      <c r="J16" s="11">
        <f>'April DAK'!N16</f>
        <v>0</v>
      </c>
      <c r="K16" s="45">
        <f>K17</f>
        <v>0</v>
      </c>
      <c r="L16" s="108">
        <f t="shared" si="1"/>
        <v>0</v>
      </c>
      <c r="M16" s="8">
        <f t="shared" ref="M16:M33" si="4">I16+K16</f>
        <v>0</v>
      </c>
      <c r="N16" s="12">
        <f t="shared" si="2"/>
        <v>0</v>
      </c>
      <c r="O16" s="13"/>
      <c r="P16" s="8">
        <f t="shared" si="3"/>
        <v>48500000</v>
      </c>
    </row>
    <row r="17" spans="1:16" s="3" customFormat="1" ht="38.25" customHeight="1">
      <c r="A17" s="14">
        <v>2</v>
      </c>
      <c r="B17" s="14">
        <v>8</v>
      </c>
      <c r="C17" s="14">
        <v>3</v>
      </c>
      <c r="D17" s="15" t="s">
        <v>8</v>
      </c>
      <c r="E17" s="14">
        <v>1</v>
      </c>
      <c r="F17" s="16" t="s">
        <v>165</v>
      </c>
      <c r="G17" s="17">
        <v>48500000</v>
      </c>
      <c r="H17" s="18">
        <f t="shared" si="0"/>
        <v>1.8312653250477071E-2</v>
      </c>
      <c r="I17" s="19">
        <f>'April DAK'!M17</f>
        <v>0</v>
      </c>
      <c r="J17" s="190">
        <f>'April DAK'!N17</f>
        <v>0</v>
      </c>
      <c r="K17" s="21">
        <v>0</v>
      </c>
      <c r="L17" s="20">
        <f t="shared" si="1"/>
        <v>0</v>
      </c>
      <c r="M17" s="30">
        <f t="shared" si="4"/>
        <v>0</v>
      </c>
      <c r="N17" s="29">
        <f t="shared" si="2"/>
        <v>0</v>
      </c>
      <c r="O17" s="22"/>
      <c r="P17" s="21">
        <f t="shared" si="3"/>
        <v>48500000</v>
      </c>
    </row>
    <row r="18" spans="1:16" s="106" customFormat="1" ht="36" customHeight="1">
      <c r="A18" s="5">
        <v>2</v>
      </c>
      <c r="B18" s="5">
        <v>8</v>
      </c>
      <c r="C18" s="5">
        <v>3</v>
      </c>
      <c r="D18" s="6" t="s">
        <v>14</v>
      </c>
      <c r="E18" s="5"/>
      <c r="F18" s="7" t="s">
        <v>166</v>
      </c>
      <c r="G18" s="45">
        <f>G19</f>
        <v>20500000</v>
      </c>
      <c r="H18" s="9">
        <f t="shared" si="0"/>
        <v>7.7403998275212367E-3</v>
      </c>
      <c r="I18" s="10">
        <f>'April DAK'!M18</f>
        <v>0</v>
      </c>
      <c r="J18" s="11">
        <f>'April DAK'!N18</f>
        <v>0</v>
      </c>
      <c r="K18" s="45">
        <f>K19</f>
        <v>0</v>
      </c>
      <c r="L18" s="108">
        <f t="shared" si="1"/>
        <v>0</v>
      </c>
      <c r="M18" s="8">
        <f t="shared" si="4"/>
        <v>0</v>
      </c>
      <c r="N18" s="12">
        <f t="shared" si="2"/>
        <v>0</v>
      </c>
      <c r="O18" s="13"/>
      <c r="P18" s="8">
        <f t="shared" si="3"/>
        <v>20500000</v>
      </c>
    </row>
    <row r="19" spans="1:16" s="3" customFormat="1" ht="37.5" customHeight="1">
      <c r="A19" s="14">
        <v>2</v>
      </c>
      <c r="B19" s="14">
        <v>8</v>
      </c>
      <c r="C19" s="14">
        <v>3</v>
      </c>
      <c r="D19" s="15" t="s">
        <v>14</v>
      </c>
      <c r="E19" s="14">
        <v>2</v>
      </c>
      <c r="F19" s="16" t="s">
        <v>167</v>
      </c>
      <c r="G19" s="17">
        <f>20500000</f>
        <v>20500000</v>
      </c>
      <c r="H19" s="18">
        <f t="shared" si="0"/>
        <v>7.7403998275212367E-3</v>
      </c>
      <c r="I19" s="19">
        <f>'April DAK'!M19</f>
        <v>0</v>
      </c>
      <c r="J19" s="190">
        <f>'April DAK'!N19</f>
        <v>0</v>
      </c>
      <c r="K19" s="21">
        <v>0</v>
      </c>
      <c r="L19" s="20">
        <f t="shared" si="1"/>
        <v>0</v>
      </c>
      <c r="M19" s="30">
        <f t="shared" si="4"/>
        <v>0</v>
      </c>
      <c r="N19" s="29">
        <f t="shared" si="2"/>
        <v>0</v>
      </c>
      <c r="O19" s="22"/>
      <c r="P19" s="21">
        <f t="shared" si="3"/>
        <v>20500000</v>
      </c>
    </row>
    <row r="20" spans="1:16" s="49" customFormat="1" ht="23.25" customHeight="1">
      <c r="A20" s="36">
        <v>2</v>
      </c>
      <c r="B20" s="36">
        <v>8</v>
      </c>
      <c r="C20" s="36">
        <v>7</v>
      </c>
      <c r="D20" s="37"/>
      <c r="E20" s="36"/>
      <c r="F20" s="38" t="s">
        <v>109</v>
      </c>
      <c r="G20" s="47">
        <f>G21+G23</f>
        <v>101520000</v>
      </c>
      <c r="H20" s="40">
        <f t="shared" si="0"/>
        <v>3.8331970267802731E-2</v>
      </c>
      <c r="I20" s="41">
        <f>'April DAK'!M20</f>
        <v>14223856</v>
      </c>
      <c r="J20" s="42">
        <f>'April DAK'!N20</f>
        <v>14.010890464933018</v>
      </c>
      <c r="K20" s="47">
        <f>K21+K28</f>
        <v>0</v>
      </c>
      <c r="L20" s="43">
        <f t="shared" si="1"/>
        <v>0</v>
      </c>
      <c r="M20" s="39">
        <f t="shared" si="4"/>
        <v>14223856</v>
      </c>
      <c r="N20" s="43">
        <f t="shared" si="2"/>
        <v>14.010890464933018</v>
      </c>
      <c r="O20" s="44"/>
      <c r="P20" s="39">
        <f t="shared" si="3"/>
        <v>87296144</v>
      </c>
    </row>
    <row r="21" spans="1:16" s="106" customFormat="1" ht="34.5" customHeight="1">
      <c r="A21" s="5">
        <v>2</v>
      </c>
      <c r="B21" s="5">
        <v>8</v>
      </c>
      <c r="C21" s="5">
        <v>7</v>
      </c>
      <c r="D21" s="6" t="s">
        <v>8</v>
      </c>
      <c r="E21" s="5"/>
      <c r="F21" s="7" t="s">
        <v>168</v>
      </c>
      <c r="G21" s="45">
        <f>G22</f>
        <v>53000000</v>
      </c>
      <c r="H21" s="9">
        <f t="shared" si="0"/>
        <v>2.0011765407737834E-2</v>
      </c>
      <c r="I21" s="10">
        <f>'April DAK'!M21</f>
        <v>600000</v>
      </c>
      <c r="J21" s="11">
        <f>'April DAK'!N21</f>
        <v>1.1320754716981132</v>
      </c>
      <c r="K21" s="45">
        <f>K22</f>
        <v>0</v>
      </c>
      <c r="L21" s="12">
        <f t="shared" si="1"/>
        <v>0</v>
      </c>
      <c r="M21" s="8">
        <f t="shared" si="4"/>
        <v>600000</v>
      </c>
      <c r="N21" s="12">
        <f t="shared" si="2"/>
        <v>1.1320754716981132</v>
      </c>
      <c r="O21" s="13"/>
      <c r="P21" s="8">
        <f t="shared" si="3"/>
        <v>52400000</v>
      </c>
    </row>
    <row r="22" spans="1:16" s="3" customFormat="1" ht="36.75" customHeight="1">
      <c r="A22" s="14">
        <v>2</v>
      </c>
      <c r="B22" s="14">
        <v>8</v>
      </c>
      <c r="C22" s="14">
        <v>7</v>
      </c>
      <c r="D22" s="15" t="s">
        <v>8</v>
      </c>
      <c r="E22" s="14">
        <v>2</v>
      </c>
      <c r="F22" s="16" t="s">
        <v>169</v>
      </c>
      <c r="G22" s="17">
        <f>53000000</f>
        <v>53000000</v>
      </c>
      <c r="H22" s="18">
        <f t="shared" si="0"/>
        <v>2.0011765407737834E-2</v>
      </c>
      <c r="I22" s="19">
        <f>'April DAK'!M22</f>
        <v>600000</v>
      </c>
      <c r="J22" s="190">
        <f>'April DAK'!N22</f>
        <v>1.1320754716981132</v>
      </c>
      <c r="K22" s="21"/>
      <c r="L22" s="20">
        <f t="shared" si="1"/>
        <v>0</v>
      </c>
      <c r="M22" s="21">
        <f t="shared" si="4"/>
        <v>600000</v>
      </c>
      <c r="N22" s="20">
        <f t="shared" si="2"/>
        <v>1.1320754716981132</v>
      </c>
      <c r="O22" s="22"/>
      <c r="P22" s="21">
        <f t="shared" si="3"/>
        <v>52400000</v>
      </c>
    </row>
    <row r="23" spans="1:16" s="106" customFormat="1" ht="48.75" customHeight="1">
      <c r="A23" s="5">
        <v>2</v>
      </c>
      <c r="B23" s="5">
        <v>8</v>
      </c>
      <c r="C23" s="5">
        <v>7</v>
      </c>
      <c r="D23" s="6" t="s">
        <v>14</v>
      </c>
      <c r="E23" s="5"/>
      <c r="F23" s="7" t="s">
        <v>170</v>
      </c>
      <c r="G23" s="45">
        <f>G24</f>
        <v>48520000</v>
      </c>
      <c r="H23" s="9">
        <f t="shared" si="0"/>
        <v>1.8320204860064897E-2</v>
      </c>
      <c r="I23" s="10">
        <f>'April DAK'!M23</f>
        <v>0</v>
      </c>
      <c r="J23" s="11">
        <f>'April DAK'!N23</f>
        <v>0</v>
      </c>
      <c r="K23" s="45">
        <f>K24</f>
        <v>0</v>
      </c>
      <c r="L23" s="108">
        <f t="shared" si="1"/>
        <v>0</v>
      </c>
      <c r="M23" s="8">
        <f t="shared" si="4"/>
        <v>0</v>
      </c>
      <c r="N23" s="12">
        <f t="shared" si="2"/>
        <v>0</v>
      </c>
      <c r="O23" s="13"/>
      <c r="P23" s="8">
        <f t="shared" si="3"/>
        <v>48520000</v>
      </c>
    </row>
    <row r="24" spans="1:16" s="3" customFormat="1" ht="40.5" customHeight="1">
      <c r="A24" s="14">
        <v>2</v>
      </c>
      <c r="B24" s="14">
        <v>8</v>
      </c>
      <c r="C24" s="14">
        <v>7</v>
      </c>
      <c r="D24" s="15" t="s">
        <v>14</v>
      </c>
      <c r="E24" s="14">
        <v>8</v>
      </c>
      <c r="F24" s="191" t="s">
        <v>171</v>
      </c>
      <c r="G24" s="17">
        <f>48520000</f>
        <v>48520000</v>
      </c>
      <c r="H24" s="18">
        <f t="shared" si="0"/>
        <v>1.8320204860064897E-2</v>
      </c>
      <c r="I24" s="19">
        <f>'April DAK'!M24</f>
        <v>0</v>
      </c>
      <c r="J24" s="190">
        <f>'April DAK'!N24</f>
        <v>0</v>
      </c>
      <c r="K24" s="21">
        <v>0</v>
      </c>
      <c r="L24" s="20">
        <f t="shared" si="1"/>
        <v>0</v>
      </c>
      <c r="M24" s="30">
        <f t="shared" si="4"/>
        <v>0</v>
      </c>
      <c r="N24" s="29">
        <f t="shared" si="2"/>
        <v>0</v>
      </c>
      <c r="O24" s="22"/>
      <c r="P24" s="21">
        <f t="shared" si="3"/>
        <v>48520000</v>
      </c>
    </row>
    <row r="25" spans="1:16" s="3" customFormat="1" ht="28.5" customHeight="1">
      <c r="A25" s="36">
        <v>2</v>
      </c>
      <c r="B25" s="36">
        <v>14</v>
      </c>
      <c r="C25" s="36">
        <v>4</v>
      </c>
      <c r="D25" s="37"/>
      <c r="E25" s="36"/>
      <c r="F25" s="193" t="s">
        <v>9</v>
      </c>
      <c r="G25" s="47">
        <f>G26</f>
        <v>200000000</v>
      </c>
      <c r="H25" s="40">
        <f t="shared" si="0"/>
        <v>7.5516095878255973E-2</v>
      </c>
      <c r="I25" s="41">
        <f>'April DAK'!M25</f>
        <v>22455856</v>
      </c>
      <c r="J25" s="42">
        <f>'April DAK'!N25</f>
        <v>11.227928</v>
      </c>
      <c r="K25" s="47">
        <f>K26+K33</f>
        <v>0</v>
      </c>
      <c r="L25" s="109">
        <f t="shared" si="1"/>
        <v>0</v>
      </c>
      <c r="M25" s="39">
        <f t="shared" si="4"/>
        <v>22455856</v>
      </c>
      <c r="N25" s="43">
        <f t="shared" si="2"/>
        <v>11.227928</v>
      </c>
      <c r="O25" s="44"/>
      <c r="P25" s="39">
        <f t="shared" si="3"/>
        <v>177544144</v>
      </c>
    </row>
    <row r="26" spans="1:16" s="3" customFormat="1" ht="36.75" customHeight="1">
      <c r="A26" s="5">
        <v>2</v>
      </c>
      <c r="B26" s="5">
        <v>14</v>
      </c>
      <c r="C26" s="5">
        <v>4</v>
      </c>
      <c r="D26" s="6" t="s">
        <v>8</v>
      </c>
      <c r="E26" s="5"/>
      <c r="F26" s="167" t="s">
        <v>172</v>
      </c>
      <c r="G26" s="45">
        <f>G27</f>
        <v>200000000</v>
      </c>
      <c r="H26" s="9">
        <f t="shared" si="0"/>
        <v>7.5516095878255973E-2</v>
      </c>
      <c r="I26" s="10">
        <f>'April DAK'!M26</f>
        <v>13623856</v>
      </c>
      <c r="J26" s="11">
        <f>'April DAK'!N26</f>
        <v>6.811928</v>
      </c>
      <c r="K26" s="45">
        <f>K28</f>
        <v>0</v>
      </c>
      <c r="L26" s="108">
        <f t="shared" si="1"/>
        <v>0</v>
      </c>
      <c r="M26" s="8">
        <f t="shared" si="4"/>
        <v>13623856</v>
      </c>
      <c r="N26" s="12">
        <f t="shared" si="2"/>
        <v>6.811928</v>
      </c>
      <c r="O26" s="13"/>
      <c r="P26" s="8">
        <f t="shared" si="3"/>
        <v>186376144</v>
      </c>
    </row>
    <row r="27" spans="1:16" s="3" customFormat="1" ht="37.5" customHeight="1">
      <c r="A27" s="14">
        <v>2</v>
      </c>
      <c r="B27" s="14">
        <v>14</v>
      </c>
      <c r="C27" s="14">
        <v>4</v>
      </c>
      <c r="D27" s="15" t="s">
        <v>8</v>
      </c>
      <c r="E27" s="14">
        <v>17</v>
      </c>
      <c r="F27" s="166" t="s">
        <v>163</v>
      </c>
      <c r="G27" s="17">
        <v>200000000</v>
      </c>
      <c r="H27" s="18">
        <f t="shared" si="0"/>
        <v>7.5516095878255973E-2</v>
      </c>
      <c r="I27" s="19">
        <f>'April DAK'!M27</f>
        <v>0</v>
      </c>
      <c r="J27" s="190">
        <f>'April DAK'!N27</f>
        <v>0</v>
      </c>
      <c r="K27" s="164"/>
      <c r="L27" s="20"/>
      <c r="M27" s="30">
        <f>I27+K27</f>
        <v>0</v>
      </c>
      <c r="N27" s="29"/>
      <c r="O27" s="165"/>
      <c r="P27" s="21">
        <f>G27-M27</f>
        <v>200000000</v>
      </c>
    </row>
    <row r="28" spans="1:16" s="49" customFormat="1" ht="23.25" customHeight="1">
      <c r="A28" s="36">
        <v>2</v>
      </c>
      <c r="B28" s="36">
        <v>8</v>
      </c>
      <c r="C28" s="36">
        <v>3</v>
      </c>
      <c r="D28" s="37"/>
      <c r="E28" s="36"/>
      <c r="F28" s="38" t="s">
        <v>83</v>
      </c>
      <c r="G28" s="46">
        <f>G29</f>
        <v>2095374000</v>
      </c>
      <c r="H28" s="40">
        <f t="shared" si="0"/>
        <v>0.79117231942402366</v>
      </c>
      <c r="I28" s="41">
        <f>'April DAK'!M28</f>
        <v>13623856</v>
      </c>
      <c r="J28" s="42">
        <f>'April DAK'!N28</f>
        <v>0.65018731739536706</v>
      </c>
      <c r="K28" s="46">
        <f>K29</f>
        <v>0</v>
      </c>
      <c r="L28" s="43">
        <f t="shared" si="1"/>
        <v>0</v>
      </c>
      <c r="M28" s="39">
        <f t="shared" si="4"/>
        <v>13623856</v>
      </c>
      <c r="N28" s="43">
        <f t="shared" si="2"/>
        <v>0.65018731739536706</v>
      </c>
      <c r="O28" s="44"/>
      <c r="P28" s="39">
        <f t="shared" si="3"/>
        <v>2081750144</v>
      </c>
    </row>
    <row r="29" spans="1:16" s="106" customFormat="1" ht="51" customHeight="1">
      <c r="A29" s="5">
        <v>2</v>
      </c>
      <c r="B29" s="5">
        <v>8</v>
      </c>
      <c r="C29" s="5">
        <v>3</v>
      </c>
      <c r="D29" s="6" t="s">
        <v>7</v>
      </c>
      <c r="E29" s="5"/>
      <c r="F29" s="7" t="s">
        <v>176</v>
      </c>
      <c r="G29" s="45">
        <f>G30</f>
        <v>2095374000</v>
      </c>
      <c r="H29" s="9">
        <f t="shared" si="0"/>
        <v>0.79117231942402366</v>
      </c>
      <c r="I29" s="10">
        <f>'April DAK'!M29</f>
        <v>13623856</v>
      </c>
      <c r="J29" s="11">
        <f>'April DAK'!N29</f>
        <v>0.65018731739536706</v>
      </c>
      <c r="K29" s="45">
        <f>K30</f>
        <v>0</v>
      </c>
      <c r="L29" s="12">
        <f t="shared" si="1"/>
        <v>0</v>
      </c>
      <c r="M29" s="8">
        <f t="shared" si="4"/>
        <v>13623856</v>
      </c>
      <c r="N29" s="12">
        <f t="shared" si="2"/>
        <v>0.65018731739536706</v>
      </c>
      <c r="O29" s="13"/>
      <c r="P29" s="8">
        <f t="shared" si="3"/>
        <v>2081750144</v>
      </c>
    </row>
    <row r="30" spans="1:16" s="3" customFormat="1" ht="39.75" customHeight="1">
      <c r="A30" s="14">
        <v>2</v>
      </c>
      <c r="B30" s="14">
        <v>8</v>
      </c>
      <c r="C30" s="14">
        <v>3</v>
      </c>
      <c r="D30" s="15" t="s">
        <v>7</v>
      </c>
      <c r="E30" s="14">
        <v>2</v>
      </c>
      <c r="F30" s="16" t="s">
        <v>177</v>
      </c>
      <c r="G30" s="17">
        <v>2095374000</v>
      </c>
      <c r="H30" s="18">
        <f t="shared" si="0"/>
        <v>0.79117231942402366</v>
      </c>
      <c r="I30" s="19">
        <f>'April DAK'!M30</f>
        <v>13623856</v>
      </c>
      <c r="J30" s="190">
        <f>'April DAK'!N30</f>
        <v>0.65018731739536706</v>
      </c>
      <c r="K30" s="21"/>
      <c r="L30" s="20">
        <f t="shared" si="1"/>
        <v>0</v>
      </c>
      <c r="M30" s="21">
        <f t="shared" si="4"/>
        <v>13623856</v>
      </c>
      <c r="N30" s="20">
        <f t="shared" si="2"/>
        <v>0.65018731739536706</v>
      </c>
      <c r="O30" s="22"/>
      <c r="P30" s="21">
        <f t="shared" si="3"/>
        <v>2081750144</v>
      </c>
    </row>
    <row r="31" spans="1:16" s="49" customFormat="1" ht="23.25" customHeight="1">
      <c r="A31" s="36">
        <v>2</v>
      </c>
      <c r="B31" s="36">
        <v>8</v>
      </c>
      <c r="C31" s="36">
        <v>7</v>
      </c>
      <c r="D31" s="37"/>
      <c r="E31" s="36"/>
      <c r="F31" s="38" t="s">
        <v>84</v>
      </c>
      <c r="G31" s="46">
        <f>G32</f>
        <v>182548000</v>
      </c>
      <c r="H31" s="40">
        <f t="shared" si="0"/>
        <v>6.8926561351919352E-2</v>
      </c>
      <c r="I31" s="41">
        <f>'April DAK'!M31</f>
        <v>8832000</v>
      </c>
      <c r="J31" s="42">
        <f>'April DAK'!N31</f>
        <v>4.8381795472971492</v>
      </c>
      <c r="K31" s="46">
        <f>K32</f>
        <v>0</v>
      </c>
      <c r="L31" s="43">
        <f t="shared" si="1"/>
        <v>0</v>
      </c>
      <c r="M31" s="39">
        <f t="shared" si="4"/>
        <v>8832000</v>
      </c>
      <c r="N31" s="43">
        <f t="shared" si="2"/>
        <v>4.8381795472971492</v>
      </c>
      <c r="O31" s="44"/>
      <c r="P31" s="39">
        <f t="shared" si="3"/>
        <v>173716000</v>
      </c>
    </row>
    <row r="32" spans="1:16" s="106" customFormat="1" ht="36.75" customHeight="1">
      <c r="A32" s="5">
        <v>2</v>
      </c>
      <c r="B32" s="5">
        <v>8</v>
      </c>
      <c r="C32" s="5">
        <v>7</v>
      </c>
      <c r="D32" s="6" t="s">
        <v>7</v>
      </c>
      <c r="E32" s="5"/>
      <c r="F32" s="7" t="s">
        <v>174</v>
      </c>
      <c r="G32" s="45">
        <f>G33</f>
        <v>182548000</v>
      </c>
      <c r="H32" s="9">
        <f t="shared" si="0"/>
        <v>6.8926561351919352E-2</v>
      </c>
      <c r="I32" s="10">
        <f>'April DAK'!M32</f>
        <v>8832000</v>
      </c>
      <c r="J32" s="11">
        <f>'April DAK'!N32</f>
        <v>4.8381795472971492</v>
      </c>
      <c r="K32" s="45">
        <f>K33</f>
        <v>0</v>
      </c>
      <c r="L32" s="12">
        <f t="shared" si="1"/>
        <v>0</v>
      </c>
      <c r="M32" s="8">
        <f t="shared" si="4"/>
        <v>8832000</v>
      </c>
      <c r="N32" s="12">
        <f t="shared" si="2"/>
        <v>4.8381795472971492</v>
      </c>
      <c r="O32" s="13"/>
      <c r="P32" s="8">
        <f t="shared" si="3"/>
        <v>173716000</v>
      </c>
    </row>
    <row r="33" spans="1:20" s="3" customFormat="1" ht="30.75" customHeight="1">
      <c r="A33" s="14">
        <v>2</v>
      </c>
      <c r="B33" s="14">
        <v>8</v>
      </c>
      <c r="C33" s="14">
        <v>7</v>
      </c>
      <c r="D33" s="15" t="s">
        <v>7</v>
      </c>
      <c r="E33" s="14">
        <v>6</v>
      </c>
      <c r="F33" s="168" t="s">
        <v>175</v>
      </c>
      <c r="G33" s="17">
        <v>182548000</v>
      </c>
      <c r="H33" s="18">
        <f t="shared" si="0"/>
        <v>6.8926561351919352E-2</v>
      </c>
      <c r="I33" s="19">
        <f>'April DAK'!M33</f>
        <v>8832000</v>
      </c>
      <c r="J33" s="190">
        <f>'April DAK'!N33</f>
        <v>4.8381795472971492</v>
      </c>
      <c r="K33" s="21"/>
      <c r="L33" s="20">
        <f t="shared" si="1"/>
        <v>0</v>
      </c>
      <c r="M33" s="21">
        <f t="shared" si="4"/>
        <v>8832000</v>
      </c>
      <c r="N33" s="20">
        <f t="shared" si="2"/>
        <v>4.8381795472971492</v>
      </c>
      <c r="O33" s="22"/>
      <c r="P33" s="21">
        <f t="shared" si="3"/>
        <v>173716000</v>
      </c>
    </row>
    <row r="34" spans="1:20" s="58" customFormat="1" ht="27" customHeight="1">
      <c r="A34" s="50"/>
      <c r="B34" s="50"/>
      <c r="C34" s="50"/>
      <c r="D34" s="51"/>
      <c r="E34" s="52"/>
      <c r="F34" s="53" t="s">
        <v>48</v>
      </c>
      <c r="G34" s="54">
        <f>G16+G18+G21+G23+G26+G29+G32</f>
        <v>2648442000</v>
      </c>
      <c r="H34" s="114">
        <f t="shared" si="0"/>
        <v>1</v>
      </c>
      <c r="I34" s="195">
        <f>'April DAK'!M34</f>
        <v>36679712</v>
      </c>
      <c r="J34" s="55">
        <f>'April DAK'!N34</f>
        <v>1.384954324089408</v>
      </c>
      <c r="K34" s="54">
        <f>K15+K20+K28+K31</f>
        <v>0</v>
      </c>
      <c r="L34" s="56">
        <f t="shared" si="1"/>
        <v>0</v>
      </c>
      <c r="M34" s="54">
        <f>M15+M20+M28+M31</f>
        <v>36679712</v>
      </c>
      <c r="N34" s="56">
        <f t="shared" si="2"/>
        <v>1.384954324089408</v>
      </c>
      <c r="O34" s="57"/>
      <c r="P34" s="116">
        <f t="shared" si="3"/>
        <v>2611762288</v>
      </c>
    </row>
    <row r="35" spans="1:20" s="3" customFormat="1">
      <c r="A35" s="161"/>
      <c r="B35" s="78"/>
      <c r="C35" s="78"/>
      <c r="D35" s="31"/>
      <c r="E35" s="32"/>
      <c r="F35" s="33"/>
      <c r="G35" s="34"/>
      <c r="H35" s="79"/>
      <c r="I35" s="80" t="s">
        <v>0</v>
      </c>
      <c r="J35" s="80"/>
      <c r="K35" s="203"/>
      <c r="L35" s="80"/>
      <c r="M35" s="80"/>
      <c r="N35" s="80"/>
      <c r="O35" s="81"/>
      <c r="P35" s="80"/>
    </row>
    <row r="36" spans="1:20" s="3" customFormat="1" ht="17.25" customHeight="1">
      <c r="A36" s="162"/>
      <c r="B36" s="82"/>
      <c r="C36" s="78"/>
      <c r="D36" s="83"/>
      <c r="E36" s="80"/>
      <c r="F36" s="80"/>
      <c r="G36" s="117"/>
      <c r="H36" s="79"/>
      <c r="I36" s="84"/>
      <c r="J36" s="80"/>
      <c r="K36" s="80"/>
      <c r="L36" s="80"/>
      <c r="M36" s="250"/>
      <c r="N36" s="250"/>
      <c r="O36" s="250"/>
      <c r="P36" s="85" t="s">
        <v>0</v>
      </c>
    </row>
    <row r="37" spans="1:20" s="3" customFormat="1" ht="18" customHeight="1">
      <c r="A37" s="162"/>
      <c r="B37" s="82"/>
      <c r="C37" s="78"/>
      <c r="D37" s="83"/>
      <c r="E37" s="32"/>
      <c r="F37" s="32"/>
      <c r="G37" s="86"/>
      <c r="H37" s="79"/>
      <c r="I37" s="80"/>
      <c r="J37" s="80"/>
      <c r="K37" s="80"/>
      <c r="L37" s="80"/>
      <c r="M37" s="244" t="s">
        <v>188</v>
      </c>
      <c r="N37" s="244"/>
      <c r="O37" s="244"/>
      <c r="P37" s="87"/>
    </row>
    <row r="38" spans="1:20" s="3" customFormat="1">
      <c r="A38" s="129"/>
      <c r="B38" s="88"/>
      <c r="C38" s="89"/>
      <c r="D38" s="90"/>
      <c r="E38" s="1"/>
      <c r="F38" s="1"/>
      <c r="G38" s="1"/>
      <c r="H38" s="91"/>
      <c r="I38" s="1"/>
      <c r="M38" s="250" t="s">
        <v>139</v>
      </c>
      <c r="N38" s="250"/>
      <c r="O38" s="250"/>
    </row>
    <row r="39" spans="1:20" s="3" customFormat="1">
      <c r="A39" s="129"/>
      <c r="B39" s="88"/>
      <c r="C39" s="89"/>
      <c r="D39" s="90"/>
      <c r="E39" s="1"/>
      <c r="F39" s="1"/>
      <c r="G39" s="2"/>
      <c r="H39" s="91"/>
      <c r="I39" s="1"/>
      <c r="M39" s="251"/>
      <c r="N39" s="251"/>
      <c r="O39" s="251"/>
    </row>
    <row r="40" spans="1:20" s="3" customFormat="1" ht="15" customHeight="1">
      <c r="A40" s="129"/>
      <c r="B40" s="88"/>
      <c r="C40" s="89"/>
      <c r="D40" s="90"/>
      <c r="E40" s="1"/>
      <c r="F40" s="1"/>
      <c r="G40" s="1"/>
      <c r="H40" s="91"/>
      <c r="I40" s="1"/>
      <c r="M40" s="246"/>
      <c r="N40" s="246"/>
      <c r="O40" s="246"/>
    </row>
    <row r="41" spans="1:20" s="3" customFormat="1" ht="15" customHeight="1">
      <c r="A41" s="129" t="s">
        <v>0</v>
      </c>
      <c r="B41" s="88"/>
      <c r="C41" s="89"/>
      <c r="D41" s="90"/>
      <c r="E41" s="1"/>
      <c r="F41" s="1"/>
      <c r="G41" s="92"/>
      <c r="H41" s="91"/>
      <c r="M41" s="245" t="s">
        <v>194</v>
      </c>
      <c r="N41" s="245"/>
      <c r="O41" s="245"/>
    </row>
    <row r="42" spans="1:20" s="64" customFormat="1">
      <c r="A42" s="163"/>
      <c r="B42" s="94"/>
      <c r="C42" s="95"/>
      <c r="D42" s="96"/>
      <c r="E42" s="93"/>
      <c r="F42" s="93"/>
      <c r="G42" s="97"/>
      <c r="H42" s="98"/>
      <c r="M42" s="242" t="s">
        <v>196</v>
      </c>
      <c r="N42" s="242"/>
      <c r="O42" s="242"/>
      <c r="Q42" s="59"/>
      <c r="R42" s="59"/>
      <c r="S42" s="59"/>
      <c r="T42" s="59"/>
    </row>
    <row r="43" spans="1:20" s="64" customFormat="1">
      <c r="A43" s="163"/>
      <c r="B43" s="94"/>
      <c r="C43" s="95"/>
      <c r="D43" s="96"/>
      <c r="E43" s="93"/>
      <c r="F43" s="93"/>
      <c r="G43" s="97"/>
      <c r="H43" s="98"/>
      <c r="M43" s="242" t="s">
        <v>195</v>
      </c>
      <c r="N43" s="242"/>
      <c r="O43" s="242"/>
      <c r="Q43" s="59"/>
      <c r="R43" s="59"/>
      <c r="S43" s="59"/>
      <c r="T43" s="59"/>
    </row>
    <row r="44" spans="1:20" s="64" customFormat="1">
      <c r="A44" s="163"/>
      <c r="B44" s="94"/>
      <c r="C44" s="95"/>
      <c r="D44" s="96"/>
      <c r="E44" s="93"/>
      <c r="F44" s="93"/>
      <c r="G44" s="97"/>
      <c r="H44" s="98"/>
      <c r="M44" s="242"/>
      <c r="N44" s="242"/>
      <c r="O44" s="242"/>
      <c r="Q44" s="59"/>
      <c r="R44" s="59"/>
      <c r="S44" s="59"/>
      <c r="T44" s="59"/>
    </row>
    <row r="45" spans="1:20" s="64" customFormat="1">
      <c r="A45" s="163"/>
      <c r="B45" s="94"/>
      <c r="C45" s="95"/>
      <c r="D45" s="96"/>
      <c r="E45" s="93"/>
      <c r="F45" s="93"/>
      <c r="G45" s="97"/>
      <c r="H45" s="98"/>
      <c r="Q45" s="59"/>
      <c r="R45" s="59"/>
      <c r="S45" s="59"/>
      <c r="T45" s="59"/>
    </row>
  </sheetData>
  <mergeCells count="35">
    <mergeCell ref="M36:O36"/>
    <mergeCell ref="M44:O44"/>
    <mergeCell ref="M38:O38"/>
    <mergeCell ref="M39:O39"/>
    <mergeCell ref="M40:O40"/>
    <mergeCell ref="M41:O41"/>
    <mergeCell ref="M42:O42"/>
    <mergeCell ref="M43:O43"/>
    <mergeCell ref="M37:O37"/>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1.2" right="0.7" top="0.75" bottom="0.75" header="0.3" footer="0.3"/>
  <pageSetup paperSize="5" scale="70" orientation="landscape" horizontalDpi="4294967292" verticalDpi="4294967295" r:id="rId1"/>
  <rowBreaks count="1" manualBreakCount="1">
    <brk id="44" max="17" man="1"/>
  </rowBreaks>
</worksheet>
</file>

<file path=xl/worksheets/sheet14.xml><?xml version="1.0" encoding="utf-8"?>
<worksheet xmlns="http://schemas.openxmlformats.org/spreadsheetml/2006/main" xmlns:r="http://schemas.openxmlformats.org/officeDocument/2006/relationships">
  <dimension ref="A1:T45"/>
  <sheetViews>
    <sheetView showGridLines="0" view="pageBreakPreview" topLeftCell="E34" zoomScaleNormal="100" zoomScaleSheetLayoutView="100" workbookViewId="0">
      <selection activeCell="L16" sqref="L16"/>
    </sheetView>
  </sheetViews>
  <sheetFormatPr defaultColWidth="9.140625" defaultRowHeight="15"/>
  <cols>
    <col min="1" max="1" width="3.5703125" style="64" customWidth="1"/>
    <col min="2" max="2" width="3.85546875" style="100" customWidth="1"/>
    <col min="3" max="3" width="3.7109375" style="100" customWidth="1"/>
    <col min="4" max="4" width="4.140625" style="101" customWidth="1"/>
    <col min="5" max="5" width="3.140625" style="99" customWidth="1"/>
    <col min="6" max="6" width="68.140625" style="99" customWidth="1"/>
    <col min="7" max="7" width="14.42578125" style="102" customWidth="1"/>
    <col min="8" max="8" width="10" style="63" customWidth="1"/>
    <col min="9" max="9" width="14" style="64" customWidth="1"/>
    <col min="10" max="10" width="7.7109375" style="64" customWidth="1"/>
    <col min="11" max="11" width="12.28515625" style="64" customWidth="1"/>
    <col min="12" max="12" width="8.140625" style="64" customWidth="1"/>
    <col min="13" max="13" width="14.28515625" style="64" customWidth="1"/>
    <col min="14" max="14" width="7.42578125" style="64" customWidth="1"/>
    <col min="15" max="15" width="7.85546875" style="64" customWidth="1"/>
    <col min="16" max="16" width="15.14062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161</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160"/>
      <c r="B4" s="60"/>
      <c r="C4" s="60"/>
      <c r="D4" s="61"/>
      <c r="E4" s="60"/>
      <c r="F4" s="60"/>
      <c r="G4" s="62"/>
    </row>
    <row r="5" spans="1:17" ht="15" customHeight="1">
      <c r="A5" s="257" t="s">
        <v>42</v>
      </c>
      <c r="B5" s="257"/>
      <c r="C5" s="257"/>
      <c r="D5" s="257"/>
      <c r="E5" s="257"/>
      <c r="F5" s="65" t="s">
        <v>44</v>
      </c>
      <c r="G5" s="66"/>
      <c r="H5" s="66"/>
      <c r="I5" s="66"/>
      <c r="J5" s="66"/>
      <c r="K5" s="66"/>
      <c r="L5" s="66"/>
      <c r="M5" s="66"/>
      <c r="N5" s="66"/>
      <c r="O5" s="66"/>
      <c r="P5" s="66"/>
    </row>
    <row r="6" spans="1:17" ht="15" customHeight="1">
      <c r="A6" s="267" t="s">
        <v>162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10" t="s">
        <v>45</v>
      </c>
      <c r="G7" s="68"/>
      <c r="H7" s="69"/>
      <c r="I7" s="70"/>
      <c r="J7" s="70"/>
      <c r="K7" s="70"/>
      <c r="L7" s="70"/>
      <c r="M7" s="70"/>
      <c r="N7" s="70"/>
      <c r="O7" s="70"/>
      <c r="P7" s="70"/>
    </row>
    <row r="8" spans="1:17" ht="15" customHeight="1">
      <c r="A8" s="257" t="s">
        <v>40</v>
      </c>
      <c r="B8" s="257"/>
      <c r="C8" s="257"/>
      <c r="D8" s="257"/>
      <c r="E8" s="257"/>
      <c r="F8" s="213" t="s">
        <v>197</v>
      </c>
      <c r="G8" s="68"/>
      <c r="H8" s="69"/>
      <c r="I8" s="70"/>
      <c r="J8" s="70"/>
      <c r="K8" s="70"/>
      <c r="L8" s="70"/>
      <c r="M8" s="70"/>
      <c r="N8" s="70"/>
      <c r="O8" s="70"/>
      <c r="P8" s="70"/>
    </row>
    <row r="9" spans="1:17" ht="15" customHeight="1">
      <c r="A9" s="160"/>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33</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12" t="s">
        <v>30</v>
      </c>
      <c r="P12" s="252"/>
      <c r="Q12" s="74"/>
    </row>
    <row r="13" spans="1:17" ht="15" customHeight="1">
      <c r="A13" s="255"/>
      <c r="B13" s="255"/>
      <c r="C13" s="255"/>
      <c r="D13" s="255"/>
      <c r="E13" s="255"/>
      <c r="F13" s="263"/>
      <c r="G13" s="252"/>
      <c r="H13" s="256"/>
      <c r="I13" s="212" t="s">
        <v>29</v>
      </c>
      <c r="J13" s="212" t="s">
        <v>28</v>
      </c>
      <c r="K13" s="212" t="s">
        <v>29</v>
      </c>
      <c r="L13" s="212" t="s">
        <v>28</v>
      </c>
      <c r="M13" s="212" t="s">
        <v>29</v>
      </c>
      <c r="N13" s="212" t="s">
        <v>28</v>
      </c>
      <c r="O13" s="212" t="s">
        <v>28</v>
      </c>
      <c r="P13" s="252"/>
      <c r="Q13" s="74"/>
    </row>
    <row r="14" spans="1:17" s="75" customFormat="1" ht="17.25" customHeight="1">
      <c r="A14" s="270">
        <v>1</v>
      </c>
      <c r="B14" s="271"/>
      <c r="C14" s="271"/>
      <c r="D14" s="271"/>
      <c r="E14" s="272"/>
      <c r="F14" s="211">
        <v>2</v>
      </c>
      <c r="G14" s="50">
        <v>3</v>
      </c>
      <c r="H14" s="194">
        <v>4</v>
      </c>
      <c r="I14" s="212">
        <v>5</v>
      </c>
      <c r="J14" s="212">
        <v>6</v>
      </c>
      <c r="K14" s="212">
        <v>8</v>
      </c>
      <c r="L14" s="212">
        <v>9</v>
      </c>
      <c r="M14" s="212">
        <v>11</v>
      </c>
      <c r="N14" s="212">
        <v>12</v>
      </c>
      <c r="O14" s="212">
        <v>13</v>
      </c>
      <c r="P14" s="212">
        <v>14</v>
      </c>
    </row>
    <row r="15" spans="1:17" s="49" customFormat="1" ht="23.25" customHeight="1">
      <c r="A15" s="36">
        <v>2</v>
      </c>
      <c r="B15" s="36">
        <v>8</v>
      </c>
      <c r="C15" s="36">
        <v>3</v>
      </c>
      <c r="D15" s="37"/>
      <c r="E15" s="36"/>
      <c r="F15" s="38" t="s">
        <v>85</v>
      </c>
      <c r="G15" s="47">
        <f>G16+G18</f>
        <v>69000000</v>
      </c>
      <c r="H15" s="40">
        <f t="shared" ref="H15:H34" si="0">+G15/$G$34*100%</f>
        <v>2.6053053077998309E-2</v>
      </c>
      <c r="I15" s="41">
        <f>'Mei DAK'!M15</f>
        <v>0</v>
      </c>
      <c r="J15" s="42">
        <f>'Mei DAK'!N15</f>
        <v>0</v>
      </c>
      <c r="K15" s="47">
        <f>K16+K18</f>
        <v>9200000</v>
      </c>
      <c r="L15" s="43">
        <f t="shared" ref="L15:L34" si="1">K15/G15*100</f>
        <v>13.333333333333334</v>
      </c>
      <c r="M15" s="39">
        <f>I15+K15</f>
        <v>9200000</v>
      </c>
      <c r="N15" s="43">
        <f t="shared" ref="N15:N34" si="2">M15/G15*100</f>
        <v>13.333333333333334</v>
      </c>
      <c r="O15" s="44"/>
      <c r="P15" s="39">
        <f t="shared" ref="P15:P34" si="3">G15-M15</f>
        <v>59800000</v>
      </c>
    </row>
    <row r="16" spans="1:17" s="106" customFormat="1" ht="36" customHeight="1">
      <c r="A16" s="5">
        <v>2</v>
      </c>
      <c r="B16" s="5">
        <v>8</v>
      </c>
      <c r="C16" s="5">
        <v>3</v>
      </c>
      <c r="D16" s="6" t="s">
        <v>8</v>
      </c>
      <c r="E16" s="5"/>
      <c r="F16" s="7" t="s">
        <v>164</v>
      </c>
      <c r="G16" s="45">
        <f>G17</f>
        <v>48500000</v>
      </c>
      <c r="H16" s="9">
        <f t="shared" si="0"/>
        <v>1.8312653250477071E-2</v>
      </c>
      <c r="I16" s="10">
        <f>'Mei DAK'!M16</f>
        <v>0</v>
      </c>
      <c r="J16" s="11">
        <f>'Mei DAK'!N16</f>
        <v>0</v>
      </c>
      <c r="K16" s="45">
        <f>K17</f>
        <v>9200000</v>
      </c>
      <c r="L16" s="12">
        <f t="shared" si="1"/>
        <v>18.969072164948454</v>
      </c>
      <c r="M16" s="8">
        <f t="shared" ref="M16:M33" si="4">I16+K16</f>
        <v>9200000</v>
      </c>
      <c r="N16" s="12">
        <f t="shared" si="2"/>
        <v>18.969072164948454</v>
      </c>
      <c r="O16" s="13"/>
      <c r="P16" s="8">
        <f t="shared" si="3"/>
        <v>39300000</v>
      </c>
    </row>
    <row r="17" spans="1:16" s="3" customFormat="1" ht="38.25" customHeight="1">
      <c r="A17" s="14">
        <v>2</v>
      </c>
      <c r="B17" s="14">
        <v>8</v>
      </c>
      <c r="C17" s="14">
        <v>3</v>
      </c>
      <c r="D17" s="15" t="s">
        <v>8</v>
      </c>
      <c r="E17" s="14">
        <v>1</v>
      </c>
      <c r="F17" s="16" t="s">
        <v>165</v>
      </c>
      <c r="G17" s="17">
        <v>48500000</v>
      </c>
      <c r="H17" s="18">
        <f t="shared" si="0"/>
        <v>1.8312653250477071E-2</v>
      </c>
      <c r="I17" s="19">
        <f>'Mei DAK'!M17</f>
        <v>0</v>
      </c>
      <c r="J17" s="190">
        <f>'Mei DAK'!N17</f>
        <v>0</v>
      </c>
      <c r="K17" s="21">
        <f>5550000+1800000+1850000</f>
        <v>9200000</v>
      </c>
      <c r="L17" s="20">
        <f t="shared" si="1"/>
        <v>18.969072164948454</v>
      </c>
      <c r="M17" s="21">
        <f t="shared" si="4"/>
        <v>9200000</v>
      </c>
      <c r="N17" s="20">
        <f t="shared" si="2"/>
        <v>18.969072164948454</v>
      </c>
      <c r="O17" s="22"/>
      <c r="P17" s="21">
        <f t="shared" si="3"/>
        <v>39300000</v>
      </c>
    </row>
    <row r="18" spans="1:16" s="106" customFormat="1" ht="36" customHeight="1">
      <c r="A18" s="5">
        <v>2</v>
      </c>
      <c r="B18" s="5">
        <v>8</v>
      </c>
      <c r="C18" s="5">
        <v>3</v>
      </c>
      <c r="D18" s="6" t="s">
        <v>14</v>
      </c>
      <c r="E18" s="5"/>
      <c r="F18" s="7" t="s">
        <v>166</v>
      </c>
      <c r="G18" s="45">
        <f>G19</f>
        <v>20500000</v>
      </c>
      <c r="H18" s="9">
        <f t="shared" si="0"/>
        <v>7.7403998275212367E-3</v>
      </c>
      <c r="I18" s="10">
        <f>'Mei DAK'!M18</f>
        <v>0</v>
      </c>
      <c r="J18" s="11">
        <f>'Mei DAK'!N18</f>
        <v>0</v>
      </c>
      <c r="K18" s="45">
        <f>K19</f>
        <v>0</v>
      </c>
      <c r="L18" s="108">
        <f t="shared" si="1"/>
        <v>0</v>
      </c>
      <c r="M18" s="8">
        <f t="shared" si="4"/>
        <v>0</v>
      </c>
      <c r="N18" s="12">
        <f t="shared" si="2"/>
        <v>0</v>
      </c>
      <c r="O18" s="13"/>
      <c r="P18" s="8">
        <f t="shared" si="3"/>
        <v>20500000</v>
      </c>
    </row>
    <row r="19" spans="1:16" s="3" customFormat="1" ht="37.5" customHeight="1">
      <c r="A19" s="14">
        <v>2</v>
      </c>
      <c r="B19" s="14">
        <v>8</v>
      </c>
      <c r="C19" s="14">
        <v>3</v>
      </c>
      <c r="D19" s="15" t="s">
        <v>14</v>
      </c>
      <c r="E19" s="14">
        <v>2</v>
      </c>
      <c r="F19" s="16" t="s">
        <v>167</v>
      </c>
      <c r="G19" s="17">
        <f>20500000</f>
        <v>20500000</v>
      </c>
      <c r="H19" s="18">
        <f t="shared" si="0"/>
        <v>7.7403998275212367E-3</v>
      </c>
      <c r="I19" s="19">
        <f>'Mei DAK'!M19</f>
        <v>0</v>
      </c>
      <c r="J19" s="190">
        <f>'Mei DAK'!N19</f>
        <v>0</v>
      </c>
      <c r="K19" s="21">
        <v>0</v>
      </c>
      <c r="L19" s="20">
        <f t="shared" si="1"/>
        <v>0</v>
      </c>
      <c r="M19" s="30">
        <f t="shared" si="4"/>
        <v>0</v>
      </c>
      <c r="N19" s="29">
        <f t="shared" si="2"/>
        <v>0</v>
      </c>
      <c r="O19" s="22"/>
      <c r="P19" s="21">
        <f t="shared" si="3"/>
        <v>20500000</v>
      </c>
    </row>
    <row r="20" spans="1:16" s="49" customFormat="1" ht="23.25" customHeight="1">
      <c r="A20" s="36">
        <v>2</v>
      </c>
      <c r="B20" s="36">
        <v>8</v>
      </c>
      <c r="C20" s="36">
        <v>7</v>
      </c>
      <c r="D20" s="37"/>
      <c r="E20" s="36"/>
      <c r="F20" s="38" t="s">
        <v>109</v>
      </c>
      <c r="G20" s="47">
        <f>G21+G23</f>
        <v>101520000</v>
      </c>
      <c r="H20" s="40">
        <f t="shared" si="0"/>
        <v>3.8331970267802731E-2</v>
      </c>
      <c r="I20" s="41">
        <f>'Mei DAK'!M20</f>
        <v>14223856</v>
      </c>
      <c r="J20" s="42">
        <f>'Mei DAK'!N20</f>
        <v>14.010890464933018</v>
      </c>
      <c r="K20" s="47">
        <f>K21+K23</f>
        <v>0</v>
      </c>
      <c r="L20" s="43">
        <f t="shared" si="1"/>
        <v>0</v>
      </c>
      <c r="M20" s="39">
        <f t="shared" si="4"/>
        <v>14223856</v>
      </c>
      <c r="N20" s="43">
        <f t="shared" si="2"/>
        <v>14.010890464933018</v>
      </c>
      <c r="O20" s="44"/>
      <c r="P20" s="39">
        <f t="shared" si="3"/>
        <v>87296144</v>
      </c>
    </row>
    <row r="21" spans="1:16" s="106" customFormat="1" ht="34.5" customHeight="1">
      <c r="A21" s="5">
        <v>2</v>
      </c>
      <c r="B21" s="5">
        <v>8</v>
      </c>
      <c r="C21" s="5">
        <v>7</v>
      </c>
      <c r="D21" s="6" t="s">
        <v>8</v>
      </c>
      <c r="E21" s="5"/>
      <c r="F21" s="7" t="s">
        <v>168</v>
      </c>
      <c r="G21" s="45">
        <f>G22</f>
        <v>53000000</v>
      </c>
      <c r="H21" s="9">
        <f t="shared" si="0"/>
        <v>2.0011765407737834E-2</v>
      </c>
      <c r="I21" s="10">
        <f>'Mei DAK'!M21</f>
        <v>600000</v>
      </c>
      <c r="J21" s="11">
        <f>'Mei DAK'!N21</f>
        <v>1.1320754716981132</v>
      </c>
      <c r="K21" s="45">
        <f>K22</f>
        <v>0</v>
      </c>
      <c r="L21" s="12">
        <f t="shared" si="1"/>
        <v>0</v>
      </c>
      <c r="M21" s="8">
        <f t="shared" si="4"/>
        <v>600000</v>
      </c>
      <c r="N21" s="12">
        <f t="shared" si="2"/>
        <v>1.1320754716981132</v>
      </c>
      <c r="O21" s="13"/>
      <c r="P21" s="8">
        <f t="shared" si="3"/>
        <v>52400000</v>
      </c>
    </row>
    <row r="22" spans="1:16" s="3" customFormat="1" ht="36.75" customHeight="1">
      <c r="A22" s="14">
        <v>2</v>
      </c>
      <c r="B22" s="14">
        <v>8</v>
      </c>
      <c r="C22" s="14">
        <v>7</v>
      </c>
      <c r="D22" s="15" t="s">
        <v>8</v>
      </c>
      <c r="E22" s="14">
        <v>2</v>
      </c>
      <c r="F22" s="16" t="s">
        <v>169</v>
      </c>
      <c r="G22" s="17">
        <f>53000000</f>
        <v>53000000</v>
      </c>
      <c r="H22" s="18">
        <f t="shared" si="0"/>
        <v>2.0011765407737834E-2</v>
      </c>
      <c r="I22" s="19">
        <f>'Mei DAK'!M22</f>
        <v>600000</v>
      </c>
      <c r="J22" s="190">
        <f>'Mei DAK'!N22</f>
        <v>1.1320754716981132</v>
      </c>
      <c r="K22" s="21"/>
      <c r="L22" s="20">
        <f t="shared" si="1"/>
        <v>0</v>
      </c>
      <c r="M22" s="21">
        <f t="shared" si="4"/>
        <v>600000</v>
      </c>
      <c r="N22" s="20">
        <f t="shared" si="2"/>
        <v>1.1320754716981132</v>
      </c>
      <c r="O22" s="22"/>
      <c r="P22" s="21">
        <f t="shared" si="3"/>
        <v>52400000</v>
      </c>
    </row>
    <row r="23" spans="1:16" s="106" customFormat="1" ht="48.75" customHeight="1">
      <c r="A23" s="5">
        <v>2</v>
      </c>
      <c r="B23" s="5">
        <v>8</v>
      </c>
      <c r="C23" s="5">
        <v>7</v>
      </c>
      <c r="D23" s="6" t="s">
        <v>14</v>
      </c>
      <c r="E23" s="5"/>
      <c r="F23" s="7" t="s">
        <v>170</v>
      </c>
      <c r="G23" s="45">
        <f>G24</f>
        <v>48520000</v>
      </c>
      <c r="H23" s="9">
        <f t="shared" si="0"/>
        <v>1.8320204860064897E-2</v>
      </c>
      <c r="I23" s="10">
        <f>'Mei DAK'!M23</f>
        <v>0</v>
      </c>
      <c r="J23" s="11">
        <f>'Mei DAK'!N23</f>
        <v>0</v>
      </c>
      <c r="K23" s="45">
        <f>K24</f>
        <v>0</v>
      </c>
      <c r="L23" s="108">
        <f t="shared" si="1"/>
        <v>0</v>
      </c>
      <c r="M23" s="8">
        <f t="shared" si="4"/>
        <v>0</v>
      </c>
      <c r="N23" s="12">
        <f t="shared" si="2"/>
        <v>0</v>
      </c>
      <c r="O23" s="13"/>
      <c r="P23" s="8">
        <f t="shared" si="3"/>
        <v>48520000</v>
      </c>
    </row>
    <row r="24" spans="1:16" s="3" customFormat="1" ht="40.5" customHeight="1">
      <c r="A24" s="14">
        <v>2</v>
      </c>
      <c r="B24" s="14">
        <v>8</v>
      </c>
      <c r="C24" s="14">
        <v>7</v>
      </c>
      <c r="D24" s="15" t="s">
        <v>14</v>
      </c>
      <c r="E24" s="14">
        <v>8</v>
      </c>
      <c r="F24" s="191" t="s">
        <v>171</v>
      </c>
      <c r="G24" s="17">
        <f>48520000</f>
        <v>48520000</v>
      </c>
      <c r="H24" s="18">
        <f t="shared" si="0"/>
        <v>1.8320204860064897E-2</v>
      </c>
      <c r="I24" s="19">
        <f>'Mei DAK'!M24</f>
        <v>0</v>
      </c>
      <c r="J24" s="190">
        <f>'Mei DAK'!N24</f>
        <v>0</v>
      </c>
      <c r="K24" s="21">
        <v>0</v>
      </c>
      <c r="L24" s="20">
        <f t="shared" si="1"/>
        <v>0</v>
      </c>
      <c r="M24" s="30">
        <f t="shared" si="4"/>
        <v>0</v>
      </c>
      <c r="N24" s="29">
        <f t="shared" si="2"/>
        <v>0</v>
      </c>
      <c r="O24" s="22"/>
      <c r="P24" s="21">
        <f t="shared" si="3"/>
        <v>48520000</v>
      </c>
    </row>
    <row r="25" spans="1:16" s="3" customFormat="1" ht="28.5" customHeight="1">
      <c r="A25" s="36">
        <v>2</v>
      </c>
      <c r="B25" s="36">
        <v>14</v>
      </c>
      <c r="C25" s="36">
        <v>4</v>
      </c>
      <c r="D25" s="37"/>
      <c r="E25" s="36"/>
      <c r="F25" s="193" t="s">
        <v>9</v>
      </c>
      <c r="G25" s="47">
        <f>G26</f>
        <v>200000000</v>
      </c>
      <c r="H25" s="40">
        <f t="shared" si="0"/>
        <v>7.5516095878255973E-2</v>
      </c>
      <c r="I25" s="41">
        <f>'Mei DAK'!M25</f>
        <v>22455856</v>
      </c>
      <c r="J25" s="42">
        <f>'Mei DAK'!N25</f>
        <v>11.227928</v>
      </c>
      <c r="K25" s="47">
        <f>K26</f>
        <v>0</v>
      </c>
      <c r="L25" s="109">
        <f t="shared" si="1"/>
        <v>0</v>
      </c>
      <c r="M25" s="39">
        <f t="shared" si="4"/>
        <v>22455856</v>
      </c>
      <c r="N25" s="43">
        <f t="shared" si="2"/>
        <v>11.227928</v>
      </c>
      <c r="O25" s="44"/>
      <c r="P25" s="39">
        <f t="shared" si="3"/>
        <v>177544144</v>
      </c>
    </row>
    <row r="26" spans="1:16" s="3" customFormat="1" ht="36.75" customHeight="1">
      <c r="A26" s="5">
        <v>2</v>
      </c>
      <c r="B26" s="5">
        <v>14</v>
      </c>
      <c r="C26" s="5">
        <v>4</v>
      </c>
      <c r="D26" s="6" t="s">
        <v>8</v>
      </c>
      <c r="E26" s="5"/>
      <c r="F26" s="167" t="s">
        <v>172</v>
      </c>
      <c r="G26" s="45">
        <f>G27</f>
        <v>200000000</v>
      </c>
      <c r="H26" s="9">
        <f t="shared" si="0"/>
        <v>7.5516095878255973E-2</v>
      </c>
      <c r="I26" s="10">
        <f>'Mei DAK'!M26</f>
        <v>13623856</v>
      </c>
      <c r="J26" s="11">
        <f>'Mei DAK'!N26</f>
        <v>6.811928</v>
      </c>
      <c r="K26" s="45">
        <f>K27</f>
        <v>0</v>
      </c>
      <c r="L26" s="108">
        <f t="shared" si="1"/>
        <v>0</v>
      </c>
      <c r="M26" s="8">
        <f t="shared" si="4"/>
        <v>13623856</v>
      </c>
      <c r="N26" s="12">
        <f t="shared" si="2"/>
        <v>6.811928</v>
      </c>
      <c r="O26" s="13"/>
      <c r="P26" s="8">
        <f t="shared" si="3"/>
        <v>186376144</v>
      </c>
    </row>
    <row r="27" spans="1:16" s="3" customFormat="1" ht="37.5" customHeight="1">
      <c r="A27" s="14">
        <v>2</v>
      </c>
      <c r="B27" s="14">
        <v>14</v>
      </c>
      <c r="C27" s="14">
        <v>4</v>
      </c>
      <c r="D27" s="15" t="s">
        <v>8</v>
      </c>
      <c r="E27" s="14">
        <v>17</v>
      </c>
      <c r="F27" s="166" t="s">
        <v>163</v>
      </c>
      <c r="G27" s="17">
        <v>200000000</v>
      </c>
      <c r="H27" s="18">
        <f t="shared" si="0"/>
        <v>7.5516095878255973E-2</v>
      </c>
      <c r="I27" s="19">
        <f>'Mei DAK'!M27</f>
        <v>0</v>
      </c>
      <c r="J27" s="190">
        <f>'Mei DAK'!N27</f>
        <v>0</v>
      </c>
      <c r="K27" s="164"/>
      <c r="L27" s="20"/>
      <c r="M27" s="30">
        <f>I27+K27</f>
        <v>0</v>
      </c>
      <c r="N27" s="29"/>
      <c r="O27" s="165"/>
      <c r="P27" s="21">
        <f>G27-M27</f>
        <v>200000000</v>
      </c>
    </row>
    <row r="28" spans="1:16" s="49" customFormat="1" ht="23.25" customHeight="1">
      <c r="A28" s="36">
        <v>2</v>
      </c>
      <c r="B28" s="36">
        <v>8</v>
      </c>
      <c r="C28" s="36">
        <v>3</v>
      </c>
      <c r="D28" s="37"/>
      <c r="E28" s="36"/>
      <c r="F28" s="38" t="s">
        <v>83</v>
      </c>
      <c r="G28" s="46">
        <f>G29</f>
        <v>2095374000</v>
      </c>
      <c r="H28" s="40">
        <f t="shared" si="0"/>
        <v>0.79117231942402366</v>
      </c>
      <c r="I28" s="41">
        <f>'Mei DAK'!M28</f>
        <v>13623856</v>
      </c>
      <c r="J28" s="42">
        <f>'Mei DAK'!N28</f>
        <v>0.65018731739536706</v>
      </c>
      <c r="K28" s="46">
        <f>K29</f>
        <v>2403000</v>
      </c>
      <c r="L28" s="43">
        <f t="shared" si="1"/>
        <v>0.11468119772412944</v>
      </c>
      <c r="M28" s="39">
        <f t="shared" si="4"/>
        <v>16026856</v>
      </c>
      <c r="N28" s="43">
        <f t="shared" si="2"/>
        <v>0.76486851511949661</v>
      </c>
      <c r="O28" s="44"/>
      <c r="P28" s="39">
        <f t="shared" si="3"/>
        <v>2079347144</v>
      </c>
    </row>
    <row r="29" spans="1:16" s="106" customFormat="1" ht="51" customHeight="1">
      <c r="A29" s="5">
        <v>2</v>
      </c>
      <c r="B29" s="5">
        <v>8</v>
      </c>
      <c r="C29" s="5">
        <v>3</v>
      </c>
      <c r="D29" s="6" t="s">
        <v>7</v>
      </c>
      <c r="E29" s="5"/>
      <c r="F29" s="7" t="s">
        <v>176</v>
      </c>
      <c r="G29" s="45">
        <f>G30</f>
        <v>2095374000</v>
      </c>
      <c r="H29" s="9">
        <f t="shared" si="0"/>
        <v>0.79117231942402366</v>
      </c>
      <c r="I29" s="10">
        <f>'Mei DAK'!M29</f>
        <v>13623856</v>
      </c>
      <c r="J29" s="11">
        <f>'Mei DAK'!N29</f>
        <v>0.65018731739536706</v>
      </c>
      <c r="K29" s="45">
        <f>K30</f>
        <v>2403000</v>
      </c>
      <c r="L29" s="12">
        <f t="shared" si="1"/>
        <v>0.11468119772412944</v>
      </c>
      <c r="M29" s="8">
        <f t="shared" si="4"/>
        <v>16026856</v>
      </c>
      <c r="N29" s="12">
        <f t="shared" si="2"/>
        <v>0.76486851511949661</v>
      </c>
      <c r="O29" s="13"/>
      <c r="P29" s="8">
        <f t="shared" si="3"/>
        <v>2079347144</v>
      </c>
    </row>
    <row r="30" spans="1:16" s="3" customFormat="1" ht="39.75" customHeight="1">
      <c r="A30" s="14">
        <v>2</v>
      </c>
      <c r="B30" s="14">
        <v>8</v>
      </c>
      <c r="C30" s="14">
        <v>3</v>
      </c>
      <c r="D30" s="15" t="s">
        <v>7</v>
      </c>
      <c r="E30" s="14">
        <v>2</v>
      </c>
      <c r="F30" s="16" t="s">
        <v>177</v>
      </c>
      <c r="G30" s="17">
        <v>2095374000</v>
      </c>
      <c r="H30" s="18">
        <f t="shared" si="0"/>
        <v>0.79117231942402366</v>
      </c>
      <c r="I30" s="19">
        <f>'Mei DAK'!M30</f>
        <v>13623856</v>
      </c>
      <c r="J30" s="190">
        <f>'Mei DAK'!N30</f>
        <v>0.65018731739536706</v>
      </c>
      <c r="K30" s="21">
        <f>135000+45000+66000+44000+44000+44000+300000+1125000+375000+225000</f>
        <v>2403000</v>
      </c>
      <c r="L30" s="20">
        <f t="shared" si="1"/>
        <v>0.11468119772412944</v>
      </c>
      <c r="M30" s="21">
        <f t="shared" si="4"/>
        <v>16026856</v>
      </c>
      <c r="N30" s="20">
        <f t="shared" si="2"/>
        <v>0.76486851511949661</v>
      </c>
      <c r="O30" s="22"/>
      <c r="P30" s="21">
        <f t="shared" si="3"/>
        <v>2079347144</v>
      </c>
    </row>
    <row r="31" spans="1:16" s="49" customFormat="1" ht="23.25" customHeight="1">
      <c r="A31" s="36">
        <v>2</v>
      </c>
      <c r="B31" s="36">
        <v>8</v>
      </c>
      <c r="C31" s="36">
        <v>7</v>
      </c>
      <c r="D31" s="37"/>
      <c r="E31" s="36"/>
      <c r="F31" s="38" t="s">
        <v>84</v>
      </c>
      <c r="G31" s="46">
        <f>G32</f>
        <v>182548000</v>
      </c>
      <c r="H31" s="40">
        <f t="shared" si="0"/>
        <v>6.8926561351919352E-2</v>
      </c>
      <c r="I31" s="41">
        <f>'Mei DAK'!M31</f>
        <v>8832000</v>
      </c>
      <c r="J31" s="42">
        <f>'Mei DAK'!N31</f>
        <v>4.8381795472971492</v>
      </c>
      <c r="K31" s="46">
        <f>K32</f>
        <v>2850000</v>
      </c>
      <c r="L31" s="43">
        <f t="shared" si="1"/>
        <v>1.5612332098954795</v>
      </c>
      <c r="M31" s="39">
        <f t="shared" si="4"/>
        <v>11682000</v>
      </c>
      <c r="N31" s="43">
        <f t="shared" si="2"/>
        <v>6.3994127571926285</v>
      </c>
      <c r="O31" s="44"/>
      <c r="P31" s="39">
        <f t="shared" si="3"/>
        <v>170866000</v>
      </c>
    </row>
    <row r="32" spans="1:16" s="106" customFormat="1" ht="36.75" customHeight="1">
      <c r="A32" s="5">
        <v>2</v>
      </c>
      <c r="B32" s="5">
        <v>8</v>
      </c>
      <c r="C32" s="5">
        <v>7</v>
      </c>
      <c r="D32" s="6" t="s">
        <v>7</v>
      </c>
      <c r="E32" s="5"/>
      <c r="F32" s="7" t="s">
        <v>174</v>
      </c>
      <c r="G32" s="45">
        <f>G33</f>
        <v>182548000</v>
      </c>
      <c r="H32" s="9">
        <f t="shared" si="0"/>
        <v>6.8926561351919352E-2</v>
      </c>
      <c r="I32" s="10">
        <f>'Mei DAK'!M32</f>
        <v>8832000</v>
      </c>
      <c r="J32" s="11">
        <f>'Mei DAK'!N32</f>
        <v>4.8381795472971492</v>
      </c>
      <c r="K32" s="45">
        <f>K33</f>
        <v>2850000</v>
      </c>
      <c r="L32" s="12">
        <f t="shared" si="1"/>
        <v>1.5612332098954795</v>
      </c>
      <c r="M32" s="8">
        <f t="shared" si="4"/>
        <v>11682000</v>
      </c>
      <c r="N32" s="12">
        <f t="shared" si="2"/>
        <v>6.3994127571926285</v>
      </c>
      <c r="O32" s="13"/>
      <c r="P32" s="8">
        <f t="shared" si="3"/>
        <v>170866000</v>
      </c>
    </row>
    <row r="33" spans="1:20" s="3" customFormat="1" ht="30.75" customHeight="1">
      <c r="A33" s="14">
        <v>2</v>
      </c>
      <c r="B33" s="14">
        <v>8</v>
      </c>
      <c r="C33" s="14">
        <v>7</v>
      </c>
      <c r="D33" s="15" t="s">
        <v>7</v>
      </c>
      <c r="E33" s="14">
        <v>7</v>
      </c>
      <c r="F33" s="168" t="s">
        <v>175</v>
      </c>
      <c r="G33" s="17">
        <v>182548000</v>
      </c>
      <c r="H33" s="18">
        <f t="shared" si="0"/>
        <v>6.8926561351919352E-2</v>
      </c>
      <c r="I33" s="19">
        <f>'Mei DAK'!M33</f>
        <v>8832000</v>
      </c>
      <c r="J33" s="190">
        <f>'Mei DAK'!N33</f>
        <v>4.8381795472971492</v>
      </c>
      <c r="K33" s="21">
        <f>900000+1350000+315000+105000+135000+45000</f>
        <v>2850000</v>
      </c>
      <c r="L33" s="20">
        <f t="shared" si="1"/>
        <v>1.5612332098954795</v>
      </c>
      <c r="M33" s="21">
        <f t="shared" si="4"/>
        <v>11682000</v>
      </c>
      <c r="N33" s="20">
        <f t="shared" si="2"/>
        <v>6.3994127571926285</v>
      </c>
      <c r="O33" s="22"/>
      <c r="P33" s="21">
        <f t="shared" si="3"/>
        <v>170866000</v>
      </c>
    </row>
    <row r="34" spans="1:20" s="58" customFormat="1" ht="27" customHeight="1">
      <c r="A34" s="50"/>
      <c r="B34" s="50"/>
      <c r="C34" s="50"/>
      <c r="D34" s="51"/>
      <c r="E34" s="52"/>
      <c r="F34" s="53" t="s">
        <v>48</v>
      </c>
      <c r="G34" s="54">
        <f>G16+G18+G21+G23+G26+G29+G32</f>
        <v>2648442000</v>
      </c>
      <c r="H34" s="114">
        <f t="shared" si="0"/>
        <v>1</v>
      </c>
      <c r="I34" s="195">
        <f>'Mei DAK'!M34</f>
        <v>36679712</v>
      </c>
      <c r="J34" s="55">
        <f>'Mei DAK'!N34</f>
        <v>1.384954324089408</v>
      </c>
      <c r="K34" s="54">
        <f>K15+K20+K28+K31</f>
        <v>14453000</v>
      </c>
      <c r="L34" s="56">
        <f t="shared" si="1"/>
        <v>0.54571706686421673</v>
      </c>
      <c r="M34" s="54">
        <f>M15+M20+M28+M31</f>
        <v>51132712</v>
      </c>
      <c r="N34" s="56">
        <f t="shared" si="2"/>
        <v>1.9306713909536248</v>
      </c>
      <c r="O34" s="57"/>
      <c r="P34" s="116">
        <f t="shared" si="3"/>
        <v>2597309288</v>
      </c>
    </row>
    <row r="35" spans="1:20" s="3" customFormat="1">
      <c r="A35" s="161"/>
      <c r="B35" s="78"/>
      <c r="C35" s="78"/>
      <c r="D35" s="31"/>
      <c r="E35" s="32"/>
      <c r="F35" s="33"/>
      <c r="G35" s="34"/>
      <c r="H35" s="79"/>
      <c r="I35" s="80" t="s">
        <v>0</v>
      </c>
      <c r="J35" s="80"/>
      <c r="K35" s="203" t="s">
        <v>199</v>
      </c>
      <c r="L35" s="80"/>
      <c r="M35" s="80"/>
      <c r="N35" s="80"/>
      <c r="O35" s="81"/>
      <c r="P35" s="80"/>
    </row>
    <row r="36" spans="1:20" s="3" customFormat="1" ht="17.25" customHeight="1">
      <c r="A36" s="162"/>
      <c r="B36" s="82"/>
      <c r="C36" s="78"/>
      <c r="D36" s="83"/>
      <c r="E36" s="80"/>
      <c r="F36" s="80"/>
      <c r="G36" s="117"/>
      <c r="H36" s="79"/>
      <c r="I36" s="84"/>
      <c r="J36" s="80"/>
      <c r="K36" s="80"/>
      <c r="L36" s="80"/>
      <c r="M36" s="250"/>
      <c r="N36" s="250"/>
      <c r="O36" s="250"/>
      <c r="P36" s="85" t="s">
        <v>0</v>
      </c>
    </row>
    <row r="37" spans="1:20" s="3" customFormat="1" ht="18" customHeight="1">
      <c r="A37" s="162"/>
      <c r="B37" s="82"/>
      <c r="C37" s="78"/>
      <c r="D37" s="83"/>
      <c r="E37" s="32"/>
      <c r="F37" s="32"/>
      <c r="G37" s="86"/>
      <c r="H37" s="79"/>
      <c r="I37" s="80"/>
      <c r="J37" s="80"/>
      <c r="K37" s="80"/>
      <c r="L37" s="80"/>
      <c r="M37" s="244" t="s">
        <v>193</v>
      </c>
      <c r="N37" s="244"/>
      <c r="O37" s="244"/>
      <c r="P37" s="87"/>
    </row>
    <row r="38" spans="1:20" s="3" customFormat="1">
      <c r="A38" s="129"/>
      <c r="B38" s="88"/>
      <c r="C38" s="89"/>
      <c r="D38" s="90"/>
      <c r="E38" s="1"/>
      <c r="F38" s="1"/>
      <c r="G38" s="1"/>
      <c r="H38" s="91"/>
      <c r="I38" s="1"/>
      <c r="M38" s="250" t="s">
        <v>139</v>
      </c>
      <c r="N38" s="250"/>
      <c r="O38" s="250"/>
    </row>
    <row r="39" spans="1:20" s="3" customFormat="1">
      <c r="A39" s="129"/>
      <c r="B39" s="88"/>
      <c r="C39" s="89"/>
      <c r="D39" s="90"/>
      <c r="E39" s="1"/>
      <c r="F39" s="1"/>
      <c r="G39" s="2"/>
      <c r="H39" s="91"/>
      <c r="I39" s="1"/>
      <c r="M39" s="251"/>
      <c r="N39" s="251"/>
      <c r="O39" s="251"/>
    </row>
    <row r="40" spans="1:20" s="3" customFormat="1" ht="15" customHeight="1">
      <c r="A40" s="129"/>
      <c r="B40" s="88"/>
      <c r="C40" s="89"/>
      <c r="D40" s="90"/>
      <c r="E40" s="1"/>
      <c r="F40" s="1"/>
      <c r="G40" s="1"/>
      <c r="H40" s="91"/>
      <c r="I40" s="1"/>
      <c r="M40" s="246"/>
      <c r="N40" s="246"/>
      <c r="O40" s="246"/>
    </row>
    <row r="41" spans="1:20" s="3" customFormat="1" ht="15" customHeight="1">
      <c r="A41" s="129" t="s">
        <v>0</v>
      </c>
      <c r="B41" s="88"/>
      <c r="C41" s="89"/>
      <c r="D41" s="90"/>
      <c r="E41" s="1"/>
      <c r="F41" s="1"/>
      <c r="G41" s="92"/>
      <c r="H41" s="91"/>
      <c r="M41" s="245" t="s">
        <v>194</v>
      </c>
      <c r="N41" s="245"/>
      <c r="O41" s="245"/>
    </row>
    <row r="42" spans="1:20" s="64" customFormat="1">
      <c r="A42" s="163"/>
      <c r="B42" s="94"/>
      <c r="C42" s="95"/>
      <c r="D42" s="96"/>
      <c r="E42" s="93"/>
      <c r="F42" s="93"/>
      <c r="G42" s="97"/>
      <c r="H42" s="98"/>
      <c r="M42" s="242" t="s">
        <v>196</v>
      </c>
      <c r="N42" s="242"/>
      <c r="O42" s="242"/>
      <c r="Q42" s="59"/>
      <c r="R42" s="59"/>
      <c r="S42" s="59"/>
      <c r="T42" s="59"/>
    </row>
    <row r="43" spans="1:20" s="64" customFormat="1">
      <c r="A43" s="163"/>
      <c r="B43" s="94"/>
      <c r="C43" s="95"/>
      <c r="D43" s="96"/>
      <c r="E43" s="93"/>
      <c r="F43" s="93"/>
      <c r="G43" s="97"/>
      <c r="H43" s="98"/>
      <c r="M43" s="242" t="s">
        <v>195</v>
      </c>
      <c r="N43" s="242"/>
      <c r="O43" s="242"/>
      <c r="Q43" s="59"/>
      <c r="R43" s="59"/>
      <c r="S43" s="59"/>
      <c r="T43" s="59"/>
    </row>
    <row r="44" spans="1:20" s="64" customFormat="1">
      <c r="A44" s="163"/>
      <c r="B44" s="94"/>
      <c r="C44" s="95"/>
      <c r="D44" s="96"/>
      <c r="E44" s="93"/>
      <c r="F44" s="93"/>
      <c r="G44" s="97"/>
      <c r="H44" s="98"/>
      <c r="M44" s="242"/>
      <c r="N44" s="242"/>
      <c r="O44" s="242"/>
      <c r="Q44" s="59"/>
      <c r="R44" s="59"/>
      <c r="S44" s="59"/>
      <c r="T44" s="59"/>
    </row>
    <row r="45" spans="1:20" s="64" customFormat="1">
      <c r="A45" s="163"/>
      <c r="B45" s="94"/>
      <c r="C45" s="95"/>
      <c r="D45" s="96"/>
      <c r="E45" s="93"/>
      <c r="F45" s="93"/>
      <c r="G45" s="97"/>
      <c r="H45" s="98"/>
      <c r="Q45" s="59"/>
      <c r="R45" s="59"/>
      <c r="S45" s="59"/>
      <c r="T45" s="59"/>
    </row>
  </sheetData>
  <mergeCells count="35">
    <mergeCell ref="M36:O36"/>
    <mergeCell ref="M44:O44"/>
    <mergeCell ref="M38:O38"/>
    <mergeCell ref="M39:O39"/>
    <mergeCell ref="M40:O40"/>
    <mergeCell ref="M41:O41"/>
    <mergeCell ref="M42:O42"/>
    <mergeCell ref="M43:O43"/>
    <mergeCell ref="M37:O37"/>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1.2" right="0.7" top="0.75" bottom="0.75" header="0.3" footer="0.3"/>
  <pageSetup paperSize="5" scale="70" orientation="landscape" horizontalDpi="4294967292" verticalDpi="4294967295" r:id="rId1"/>
  <rowBreaks count="1" manualBreakCount="1">
    <brk id="44" max="17" man="1"/>
  </rowBreaks>
</worksheet>
</file>

<file path=xl/worksheets/sheet15.xml><?xml version="1.0" encoding="utf-8"?>
<worksheet xmlns="http://schemas.openxmlformats.org/spreadsheetml/2006/main" xmlns:r="http://schemas.openxmlformats.org/officeDocument/2006/relationships">
  <dimension ref="A1:T45"/>
  <sheetViews>
    <sheetView showGridLines="0" view="pageBreakPreview" topLeftCell="A10" zoomScaleNormal="100" zoomScaleSheetLayoutView="100" workbookViewId="0">
      <selection activeCell="K33" sqref="K33"/>
    </sheetView>
  </sheetViews>
  <sheetFormatPr defaultColWidth="9.140625" defaultRowHeight="15"/>
  <cols>
    <col min="1" max="1" width="3.5703125" style="64" customWidth="1"/>
    <col min="2" max="2" width="3.85546875" style="100" customWidth="1"/>
    <col min="3" max="3" width="3.7109375" style="100" customWidth="1"/>
    <col min="4" max="4" width="4.140625" style="101" customWidth="1"/>
    <col min="5" max="5" width="3.140625" style="99" customWidth="1"/>
    <col min="6" max="6" width="68.140625" style="99" customWidth="1"/>
    <col min="7" max="7" width="14.42578125" style="102" customWidth="1"/>
    <col min="8" max="8" width="10" style="63" customWidth="1"/>
    <col min="9" max="9" width="14" style="64" customWidth="1"/>
    <col min="10" max="10" width="7.7109375" style="64" customWidth="1"/>
    <col min="11" max="11" width="12.28515625" style="64" customWidth="1"/>
    <col min="12" max="12" width="8.140625" style="64" customWidth="1"/>
    <col min="13" max="13" width="14.28515625" style="64" customWidth="1"/>
    <col min="14" max="14" width="7.42578125" style="64" customWidth="1"/>
    <col min="15" max="15" width="7.85546875" style="64" customWidth="1"/>
    <col min="16" max="16" width="15.14062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161</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160"/>
      <c r="B4" s="60"/>
      <c r="C4" s="60"/>
      <c r="D4" s="61"/>
      <c r="E4" s="60"/>
      <c r="F4" s="60"/>
      <c r="G4" s="62"/>
    </row>
    <row r="5" spans="1:17" ht="15" customHeight="1">
      <c r="A5" s="257" t="s">
        <v>42</v>
      </c>
      <c r="B5" s="257"/>
      <c r="C5" s="257"/>
      <c r="D5" s="257"/>
      <c r="E5" s="257"/>
      <c r="F5" s="65" t="s">
        <v>44</v>
      </c>
      <c r="G5" s="66"/>
      <c r="H5" s="66"/>
      <c r="I5" s="66"/>
      <c r="J5" s="66"/>
      <c r="K5" s="66"/>
      <c r="L5" s="66"/>
      <c r="M5" s="66"/>
      <c r="N5" s="66"/>
      <c r="O5" s="66"/>
      <c r="P5" s="66"/>
    </row>
    <row r="6" spans="1:17" ht="15" customHeight="1">
      <c r="A6" s="267" t="s">
        <v>162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30" t="s">
        <v>45</v>
      </c>
      <c r="G7" s="68"/>
      <c r="H7" s="69"/>
      <c r="I7" s="70"/>
      <c r="J7" s="70"/>
      <c r="K7" s="70"/>
      <c r="L7" s="70"/>
      <c r="M7" s="70"/>
      <c r="N7" s="70"/>
      <c r="O7" s="70"/>
      <c r="P7" s="70"/>
    </row>
    <row r="8" spans="1:17" ht="15" customHeight="1">
      <c r="A8" s="257" t="s">
        <v>40</v>
      </c>
      <c r="B8" s="257"/>
      <c r="C8" s="257"/>
      <c r="D8" s="257"/>
      <c r="E8" s="257"/>
      <c r="F8" s="230" t="s">
        <v>201</v>
      </c>
      <c r="G8" s="68"/>
      <c r="H8" s="69"/>
      <c r="I8" s="70"/>
      <c r="J8" s="70"/>
      <c r="K8" s="70"/>
      <c r="L8" s="70"/>
      <c r="M8" s="70"/>
      <c r="N8" s="70"/>
      <c r="O8" s="70"/>
      <c r="P8" s="70"/>
    </row>
    <row r="9" spans="1:17" ht="15" customHeight="1">
      <c r="A9" s="160"/>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33</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28" t="s">
        <v>30</v>
      </c>
      <c r="P12" s="252"/>
      <c r="Q12" s="74"/>
    </row>
    <row r="13" spans="1:17" ht="15" customHeight="1">
      <c r="A13" s="255"/>
      <c r="B13" s="255"/>
      <c r="C13" s="255"/>
      <c r="D13" s="255"/>
      <c r="E13" s="255"/>
      <c r="F13" s="263"/>
      <c r="G13" s="252"/>
      <c r="H13" s="256"/>
      <c r="I13" s="228" t="s">
        <v>29</v>
      </c>
      <c r="J13" s="228" t="s">
        <v>28</v>
      </c>
      <c r="K13" s="228" t="s">
        <v>29</v>
      </c>
      <c r="L13" s="228" t="s">
        <v>28</v>
      </c>
      <c r="M13" s="228" t="s">
        <v>29</v>
      </c>
      <c r="N13" s="228" t="s">
        <v>28</v>
      </c>
      <c r="O13" s="228" t="s">
        <v>28</v>
      </c>
      <c r="P13" s="252"/>
      <c r="Q13" s="74"/>
    </row>
    <row r="14" spans="1:17" s="75" customFormat="1" ht="17.25" customHeight="1">
      <c r="A14" s="270">
        <v>1</v>
      </c>
      <c r="B14" s="271"/>
      <c r="C14" s="271"/>
      <c r="D14" s="271"/>
      <c r="E14" s="272"/>
      <c r="F14" s="229">
        <v>2</v>
      </c>
      <c r="G14" s="50">
        <v>3</v>
      </c>
      <c r="H14" s="194">
        <v>4</v>
      </c>
      <c r="I14" s="228">
        <v>5</v>
      </c>
      <c r="J14" s="228">
        <v>6</v>
      </c>
      <c r="K14" s="228">
        <v>8</v>
      </c>
      <c r="L14" s="228">
        <v>9</v>
      </c>
      <c r="M14" s="228">
        <v>11</v>
      </c>
      <c r="N14" s="228">
        <v>12</v>
      </c>
      <c r="O14" s="228">
        <v>13</v>
      </c>
      <c r="P14" s="228">
        <v>14</v>
      </c>
    </row>
    <row r="15" spans="1:17" s="49" customFormat="1" ht="23.25" customHeight="1">
      <c r="A15" s="36">
        <v>2</v>
      </c>
      <c r="B15" s="36">
        <v>8</v>
      </c>
      <c r="C15" s="36">
        <v>3</v>
      </c>
      <c r="D15" s="37"/>
      <c r="E15" s="36"/>
      <c r="F15" s="38" t="s">
        <v>85</v>
      </c>
      <c r="G15" s="47">
        <f>G16+G18</f>
        <v>69000000</v>
      </c>
      <c r="H15" s="40">
        <f t="shared" ref="H15:H34" si="0">+G15/$G$34*100%</f>
        <v>2.6053053077998309E-2</v>
      </c>
      <c r="I15" s="41">
        <f>'Juni DAK'!M15</f>
        <v>9200000</v>
      </c>
      <c r="J15" s="42">
        <f>'Juni DAK'!N15</f>
        <v>13.333333333333334</v>
      </c>
      <c r="K15" s="47">
        <f>K16+K18</f>
        <v>19015000</v>
      </c>
      <c r="L15" s="43">
        <f t="shared" ref="L15:L34" si="1">K15/G15*100</f>
        <v>27.557971014492754</v>
      </c>
      <c r="M15" s="39">
        <f>I15+K15</f>
        <v>28215000</v>
      </c>
      <c r="N15" s="43">
        <f t="shared" ref="N15:N34" si="2">M15/G15*100</f>
        <v>40.891304347826086</v>
      </c>
      <c r="O15" s="44"/>
      <c r="P15" s="39">
        <f t="shared" ref="P15:P34" si="3">G15-M15</f>
        <v>40785000</v>
      </c>
    </row>
    <row r="16" spans="1:17" s="106" customFormat="1" ht="36" customHeight="1">
      <c r="A16" s="5">
        <v>2</v>
      </c>
      <c r="B16" s="5">
        <v>8</v>
      </c>
      <c r="C16" s="5">
        <v>3</v>
      </c>
      <c r="D16" s="6" t="s">
        <v>8</v>
      </c>
      <c r="E16" s="5"/>
      <c r="F16" s="7" t="s">
        <v>164</v>
      </c>
      <c r="G16" s="45">
        <f>G17</f>
        <v>48500000</v>
      </c>
      <c r="H16" s="9">
        <f t="shared" si="0"/>
        <v>1.8312653250477071E-2</v>
      </c>
      <c r="I16" s="10">
        <f>'Juni DAK'!M16</f>
        <v>9200000</v>
      </c>
      <c r="J16" s="11">
        <f>'Juni DAK'!N16</f>
        <v>18.969072164948454</v>
      </c>
      <c r="K16" s="45">
        <f>K17</f>
        <v>12415000</v>
      </c>
      <c r="L16" s="12">
        <f t="shared" si="1"/>
        <v>25.597938144329895</v>
      </c>
      <c r="M16" s="8">
        <f t="shared" ref="M16:M33" si="4">I16+K16</f>
        <v>21615000</v>
      </c>
      <c r="N16" s="12">
        <f t="shared" si="2"/>
        <v>44.567010309278352</v>
      </c>
      <c r="O16" s="13"/>
      <c r="P16" s="8">
        <f t="shared" si="3"/>
        <v>26885000</v>
      </c>
    </row>
    <row r="17" spans="1:16" s="3" customFormat="1" ht="38.25" customHeight="1">
      <c r="A17" s="14">
        <v>2</v>
      </c>
      <c r="B17" s="14">
        <v>8</v>
      </c>
      <c r="C17" s="14">
        <v>3</v>
      </c>
      <c r="D17" s="15" t="s">
        <v>8</v>
      </c>
      <c r="E17" s="14">
        <v>1</v>
      </c>
      <c r="F17" s="16" t="s">
        <v>165</v>
      </c>
      <c r="G17" s="17">
        <v>48500000</v>
      </c>
      <c r="H17" s="18">
        <f t="shared" si="0"/>
        <v>1.8312653250477071E-2</v>
      </c>
      <c r="I17" s="19">
        <f>'Juni DAK'!M17</f>
        <v>9200000</v>
      </c>
      <c r="J17" s="190">
        <f>'Juni DAK'!N17</f>
        <v>18.969072164948454</v>
      </c>
      <c r="K17" s="21">
        <f>1850000+1800000+5550000+1610000+1605000</f>
        <v>12415000</v>
      </c>
      <c r="L17" s="20">
        <f t="shared" si="1"/>
        <v>25.597938144329895</v>
      </c>
      <c r="M17" s="21">
        <f t="shared" si="4"/>
        <v>21615000</v>
      </c>
      <c r="N17" s="20">
        <f t="shared" si="2"/>
        <v>44.567010309278352</v>
      </c>
      <c r="O17" s="22"/>
      <c r="P17" s="21">
        <f t="shared" si="3"/>
        <v>26885000</v>
      </c>
    </row>
    <row r="18" spans="1:16" s="106" customFormat="1" ht="36" customHeight="1">
      <c r="A18" s="5">
        <v>2</v>
      </c>
      <c r="B18" s="5">
        <v>8</v>
      </c>
      <c r="C18" s="5">
        <v>3</v>
      </c>
      <c r="D18" s="6" t="s">
        <v>14</v>
      </c>
      <c r="E18" s="5"/>
      <c r="F18" s="7" t="s">
        <v>166</v>
      </c>
      <c r="G18" s="45">
        <f>G19</f>
        <v>20500000</v>
      </c>
      <c r="H18" s="9">
        <f t="shared" si="0"/>
        <v>7.7403998275212367E-3</v>
      </c>
      <c r="I18" s="10">
        <f>'Juni DAK'!M18</f>
        <v>0</v>
      </c>
      <c r="J18" s="11">
        <f>'Juni DAK'!N18</f>
        <v>0</v>
      </c>
      <c r="K18" s="45">
        <f>K19</f>
        <v>6600000</v>
      </c>
      <c r="L18" s="12">
        <f t="shared" si="1"/>
        <v>32.195121951219512</v>
      </c>
      <c r="M18" s="8">
        <f t="shared" si="4"/>
        <v>6600000</v>
      </c>
      <c r="N18" s="12">
        <f t="shared" si="2"/>
        <v>32.195121951219512</v>
      </c>
      <c r="O18" s="13"/>
      <c r="P18" s="8">
        <f t="shared" si="3"/>
        <v>13900000</v>
      </c>
    </row>
    <row r="19" spans="1:16" s="3" customFormat="1" ht="37.5" customHeight="1">
      <c r="A19" s="14">
        <v>2</v>
      </c>
      <c r="B19" s="14">
        <v>8</v>
      </c>
      <c r="C19" s="14">
        <v>3</v>
      </c>
      <c r="D19" s="15" t="s">
        <v>14</v>
      </c>
      <c r="E19" s="14">
        <v>2</v>
      </c>
      <c r="F19" s="16" t="s">
        <v>167</v>
      </c>
      <c r="G19" s="17">
        <f>20500000</f>
        <v>20500000</v>
      </c>
      <c r="H19" s="18">
        <f t="shared" si="0"/>
        <v>7.7403998275212367E-3</v>
      </c>
      <c r="I19" s="19">
        <f>'Juni DAK'!M19</f>
        <v>0</v>
      </c>
      <c r="J19" s="190">
        <f>'Juni DAK'!N19</f>
        <v>0</v>
      </c>
      <c r="K19" s="21">
        <f>3000000+3600000</f>
        <v>6600000</v>
      </c>
      <c r="L19" s="20">
        <f t="shared" si="1"/>
        <v>32.195121951219512</v>
      </c>
      <c r="M19" s="21">
        <f t="shared" si="4"/>
        <v>6600000</v>
      </c>
      <c r="N19" s="20">
        <f t="shared" si="2"/>
        <v>32.195121951219512</v>
      </c>
      <c r="O19" s="22"/>
      <c r="P19" s="21">
        <f t="shared" si="3"/>
        <v>13900000</v>
      </c>
    </row>
    <row r="20" spans="1:16" s="49" customFormat="1" ht="23.25" customHeight="1">
      <c r="A20" s="36">
        <v>2</v>
      </c>
      <c r="B20" s="36">
        <v>8</v>
      </c>
      <c r="C20" s="36">
        <v>7</v>
      </c>
      <c r="D20" s="37"/>
      <c r="E20" s="36"/>
      <c r="F20" s="38" t="s">
        <v>109</v>
      </c>
      <c r="G20" s="47">
        <f>G21+G23</f>
        <v>101520000</v>
      </c>
      <c r="H20" s="40">
        <f t="shared" si="0"/>
        <v>3.8331970267802731E-2</v>
      </c>
      <c r="I20" s="41">
        <f>'Juni DAK'!M20</f>
        <v>14223856</v>
      </c>
      <c r="J20" s="42">
        <f>'Juni DAK'!N20</f>
        <v>14.010890464933018</v>
      </c>
      <c r="K20" s="47">
        <f>K21+K23</f>
        <v>30040000</v>
      </c>
      <c r="L20" s="43">
        <f t="shared" si="1"/>
        <v>29.590228526398736</v>
      </c>
      <c r="M20" s="39">
        <f t="shared" si="4"/>
        <v>44263856</v>
      </c>
      <c r="N20" s="43">
        <f t="shared" si="2"/>
        <v>43.601118991331752</v>
      </c>
      <c r="O20" s="44"/>
      <c r="P20" s="39">
        <f t="shared" si="3"/>
        <v>57256144</v>
      </c>
    </row>
    <row r="21" spans="1:16" s="106" customFormat="1" ht="34.5" customHeight="1">
      <c r="A21" s="5">
        <v>2</v>
      </c>
      <c r="B21" s="5">
        <v>8</v>
      </c>
      <c r="C21" s="5">
        <v>7</v>
      </c>
      <c r="D21" s="6" t="s">
        <v>8</v>
      </c>
      <c r="E21" s="5"/>
      <c r="F21" s="7" t="s">
        <v>168</v>
      </c>
      <c r="G21" s="45">
        <f>G22</f>
        <v>53000000</v>
      </c>
      <c r="H21" s="9">
        <f t="shared" si="0"/>
        <v>2.0011765407737834E-2</v>
      </c>
      <c r="I21" s="10">
        <f>'Juni DAK'!M21</f>
        <v>600000</v>
      </c>
      <c r="J21" s="11">
        <f>'Juni DAK'!N21</f>
        <v>1.1320754716981132</v>
      </c>
      <c r="K21" s="45">
        <f>K22</f>
        <v>14650000</v>
      </c>
      <c r="L21" s="12">
        <f t="shared" si="1"/>
        <v>27.641509433962263</v>
      </c>
      <c r="M21" s="8">
        <f t="shared" si="4"/>
        <v>15250000</v>
      </c>
      <c r="N21" s="12">
        <f t="shared" si="2"/>
        <v>28.773584905660378</v>
      </c>
      <c r="O21" s="13"/>
      <c r="P21" s="8">
        <f t="shared" si="3"/>
        <v>37750000</v>
      </c>
    </row>
    <row r="22" spans="1:16" s="3" customFormat="1" ht="36.75" customHeight="1">
      <c r="A22" s="14">
        <v>2</v>
      </c>
      <c r="B22" s="14">
        <v>8</v>
      </c>
      <c r="C22" s="14">
        <v>7</v>
      </c>
      <c r="D22" s="15" t="s">
        <v>8</v>
      </c>
      <c r="E22" s="14">
        <v>2</v>
      </c>
      <c r="F22" s="16" t="s">
        <v>169</v>
      </c>
      <c r="G22" s="17">
        <f>53000000</f>
        <v>53000000</v>
      </c>
      <c r="H22" s="18">
        <f t="shared" si="0"/>
        <v>2.0011765407737834E-2</v>
      </c>
      <c r="I22" s="19">
        <f>'Juni DAK'!M22</f>
        <v>600000</v>
      </c>
      <c r="J22" s="190">
        <f>'Juni DAK'!N22</f>
        <v>1.1320754716981132</v>
      </c>
      <c r="K22" s="21">
        <f>3600000+4000000+3000000+900000+900000+2250000</f>
        <v>14650000</v>
      </c>
      <c r="L22" s="20">
        <f t="shared" si="1"/>
        <v>27.641509433962263</v>
      </c>
      <c r="M22" s="21">
        <f t="shared" si="4"/>
        <v>15250000</v>
      </c>
      <c r="N22" s="20">
        <f t="shared" si="2"/>
        <v>28.773584905660378</v>
      </c>
      <c r="O22" s="22"/>
      <c r="P22" s="21">
        <f t="shared" si="3"/>
        <v>37750000</v>
      </c>
    </row>
    <row r="23" spans="1:16" s="106" customFormat="1" ht="48.75" customHeight="1">
      <c r="A23" s="5">
        <v>2</v>
      </c>
      <c r="B23" s="5">
        <v>8</v>
      </c>
      <c r="C23" s="5">
        <v>7</v>
      </c>
      <c r="D23" s="6" t="s">
        <v>14</v>
      </c>
      <c r="E23" s="5"/>
      <c r="F23" s="7" t="s">
        <v>170</v>
      </c>
      <c r="G23" s="45">
        <f>G24</f>
        <v>48520000</v>
      </c>
      <c r="H23" s="9">
        <f t="shared" si="0"/>
        <v>1.8320204860064897E-2</v>
      </c>
      <c r="I23" s="10">
        <f>'Juni DAK'!M23</f>
        <v>0</v>
      </c>
      <c r="J23" s="11">
        <f>'Juni DAK'!N23</f>
        <v>0</v>
      </c>
      <c r="K23" s="45">
        <f>K24</f>
        <v>15390000</v>
      </c>
      <c r="L23" s="12">
        <f t="shared" si="1"/>
        <v>31.718878812860673</v>
      </c>
      <c r="M23" s="8">
        <f t="shared" si="4"/>
        <v>15390000</v>
      </c>
      <c r="N23" s="12">
        <f t="shared" si="2"/>
        <v>31.718878812860673</v>
      </c>
      <c r="O23" s="13"/>
      <c r="P23" s="8">
        <f t="shared" si="3"/>
        <v>33130000</v>
      </c>
    </row>
    <row r="24" spans="1:16" s="3" customFormat="1" ht="40.5" customHeight="1">
      <c r="A24" s="14">
        <v>2</v>
      </c>
      <c r="B24" s="14">
        <v>8</v>
      </c>
      <c r="C24" s="14">
        <v>7</v>
      </c>
      <c r="D24" s="15" t="s">
        <v>14</v>
      </c>
      <c r="E24" s="14">
        <v>8</v>
      </c>
      <c r="F24" s="191" t="s">
        <v>171</v>
      </c>
      <c r="G24" s="17">
        <f>48520000</f>
        <v>48520000</v>
      </c>
      <c r="H24" s="18">
        <f t="shared" si="0"/>
        <v>1.8320204860064897E-2</v>
      </c>
      <c r="I24" s="19">
        <f>'Juni DAK'!M24</f>
        <v>0</v>
      </c>
      <c r="J24" s="190">
        <f>'Juni DAK'!N24</f>
        <v>0</v>
      </c>
      <c r="K24" s="21">
        <f>5400000+9990000</f>
        <v>15390000</v>
      </c>
      <c r="L24" s="20">
        <f t="shared" si="1"/>
        <v>31.718878812860673</v>
      </c>
      <c r="M24" s="21">
        <f t="shared" si="4"/>
        <v>15390000</v>
      </c>
      <c r="N24" s="20">
        <f t="shared" si="2"/>
        <v>31.718878812860673</v>
      </c>
      <c r="O24" s="22"/>
      <c r="P24" s="21">
        <f t="shared" si="3"/>
        <v>33130000</v>
      </c>
    </row>
    <row r="25" spans="1:16" s="3" customFormat="1" ht="28.5" customHeight="1">
      <c r="A25" s="36">
        <v>2</v>
      </c>
      <c r="B25" s="36">
        <v>14</v>
      </c>
      <c r="C25" s="36">
        <v>4</v>
      </c>
      <c r="D25" s="37"/>
      <c r="E25" s="36"/>
      <c r="F25" s="193" t="s">
        <v>9</v>
      </c>
      <c r="G25" s="47">
        <f>G26</f>
        <v>200000000</v>
      </c>
      <c r="H25" s="40">
        <f t="shared" si="0"/>
        <v>7.5516095878255973E-2</v>
      </c>
      <c r="I25" s="41">
        <f>'Juni DAK'!M25</f>
        <v>22455856</v>
      </c>
      <c r="J25" s="42">
        <f>'Juni DAK'!N25</f>
        <v>11.227928</v>
      </c>
      <c r="K25" s="47">
        <f>K26</f>
        <v>0</v>
      </c>
      <c r="L25" s="109">
        <f t="shared" si="1"/>
        <v>0</v>
      </c>
      <c r="M25" s="39">
        <f t="shared" si="4"/>
        <v>22455856</v>
      </c>
      <c r="N25" s="43">
        <f t="shared" si="2"/>
        <v>11.227928</v>
      </c>
      <c r="O25" s="44"/>
      <c r="P25" s="39">
        <f t="shared" si="3"/>
        <v>177544144</v>
      </c>
    </row>
    <row r="26" spans="1:16" s="3" customFormat="1" ht="36.75" customHeight="1">
      <c r="A26" s="5">
        <v>2</v>
      </c>
      <c r="B26" s="5">
        <v>14</v>
      </c>
      <c r="C26" s="5">
        <v>4</v>
      </c>
      <c r="D26" s="6" t="s">
        <v>8</v>
      </c>
      <c r="E26" s="5"/>
      <c r="F26" s="167" t="s">
        <v>172</v>
      </c>
      <c r="G26" s="45">
        <f>G27</f>
        <v>200000000</v>
      </c>
      <c r="H26" s="9">
        <f t="shared" si="0"/>
        <v>7.5516095878255973E-2</v>
      </c>
      <c r="I26" s="10">
        <f>'Juni DAK'!M26</f>
        <v>13623856</v>
      </c>
      <c r="J26" s="11">
        <f>'Juni DAK'!N26</f>
        <v>6.811928</v>
      </c>
      <c r="K26" s="45">
        <f>K27</f>
        <v>0</v>
      </c>
      <c r="L26" s="108">
        <f t="shared" si="1"/>
        <v>0</v>
      </c>
      <c r="M26" s="8">
        <f t="shared" si="4"/>
        <v>13623856</v>
      </c>
      <c r="N26" s="12">
        <f t="shared" si="2"/>
        <v>6.811928</v>
      </c>
      <c r="O26" s="13"/>
      <c r="P26" s="8">
        <f t="shared" si="3"/>
        <v>186376144</v>
      </c>
    </row>
    <row r="27" spans="1:16" s="3" customFormat="1" ht="37.5" customHeight="1">
      <c r="A27" s="14">
        <v>2</v>
      </c>
      <c r="B27" s="14">
        <v>14</v>
      </c>
      <c r="C27" s="14">
        <v>4</v>
      </c>
      <c r="D27" s="15" t="s">
        <v>8</v>
      </c>
      <c r="E27" s="14">
        <v>17</v>
      </c>
      <c r="F27" s="166" t="s">
        <v>163</v>
      </c>
      <c r="G27" s="17">
        <v>200000000</v>
      </c>
      <c r="H27" s="18">
        <f t="shared" si="0"/>
        <v>7.5516095878255973E-2</v>
      </c>
      <c r="I27" s="192">
        <f>'Juni DAK'!M27</f>
        <v>0</v>
      </c>
      <c r="J27" s="28">
        <f>'Juni DAK'!N27</f>
        <v>0</v>
      </c>
      <c r="K27" s="164"/>
      <c r="L27" s="20"/>
      <c r="M27" s="30">
        <f>I27+K27</f>
        <v>0</v>
      </c>
      <c r="N27" s="29"/>
      <c r="O27" s="165"/>
      <c r="P27" s="21">
        <f>G27-M27</f>
        <v>200000000</v>
      </c>
    </row>
    <row r="28" spans="1:16" s="49" customFormat="1" ht="23.25" customHeight="1">
      <c r="A28" s="36">
        <v>2</v>
      </c>
      <c r="B28" s="36">
        <v>8</v>
      </c>
      <c r="C28" s="36">
        <v>3</v>
      </c>
      <c r="D28" s="37"/>
      <c r="E28" s="36"/>
      <c r="F28" s="38" t="s">
        <v>83</v>
      </c>
      <c r="G28" s="46">
        <f>G29</f>
        <v>2095374000</v>
      </c>
      <c r="H28" s="40">
        <f t="shared" si="0"/>
        <v>0.79117231942402366</v>
      </c>
      <c r="I28" s="41">
        <f>'Juni DAK'!M28</f>
        <v>16026856</v>
      </c>
      <c r="J28" s="42">
        <f>'Juni DAK'!N28</f>
        <v>0.76486851511949661</v>
      </c>
      <c r="K28" s="46">
        <f>K29</f>
        <v>26979247</v>
      </c>
      <c r="L28" s="43">
        <f t="shared" si="1"/>
        <v>1.2875623635685085</v>
      </c>
      <c r="M28" s="39">
        <f t="shared" si="4"/>
        <v>43006103</v>
      </c>
      <c r="N28" s="43">
        <f t="shared" si="2"/>
        <v>2.0524308786880052</v>
      </c>
      <c r="O28" s="44"/>
      <c r="P28" s="39">
        <f t="shared" si="3"/>
        <v>2052367897</v>
      </c>
    </row>
    <row r="29" spans="1:16" s="106" customFormat="1" ht="51" customHeight="1">
      <c r="A29" s="5">
        <v>2</v>
      </c>
      <c r="B29" s="5">
        <v>8</v>
      </c>
      <c r="C29" s="5">
        <v>3</v>
      </c>
      <c r="D29" s="6" t="s">
        <v>7</v>
      </c>
      <c r="E29" s="5"/>
      <c r="F29" s="7" t="s">
        <v>176</v>
      </c>
      <c r="G29" s="45">
        <f>G30</f>
        <v>2095374000</v>
      </c>
      <c r="H29" s="9">
        <f t="shared" si="0"/>
        <v>0.79117231942402366</v>
      </c>
      <c r="I29" s="10">
        <f>'Juni DAK'!M29</f>
        <v>16026856</v>
      </c>
      <c r="J29" s="11">
        <f>'Juni DAK'!N29</f>
        <v>0.76486851511949661</v>
      </c>
      <c r="K29" s="45">
        <f>K30</f>
        <v>26979247</v>
      </c>
      <c r="L29" s="12">
        <f t="shared" si="1"/>
        <v>1.2875623635685085</v>
      </c>
      <c r="M29" s="8">
        <f t="shared" si="4"/>
        <v>43006103</v>
      </c>
      <c r="N29" s="12">
        <f t="shared" si="2"/>
        <v>2.0524308786880052</v>
      </c>
      <c r="O29" s="13"/>
      <c r="P29" s="8">
        <f t="shared" si="3"/>
        <v>2052367897</v>
      </c>
    </row>
    <row r="30" spans="1:16" s="3" customFormat="1" ht="39.75" customHeight="1">
      <c r="A30" s="14">
        <v>2</v>
      </c>
      <c r="B30" s="14">
        <v>8</v>
      </c>
      <c r="C30" s="14">
        <v>3</v>
      </c>
      <c r="D30" s="15" t="s">
        <v>7</v>
      </c>
      <c r="E30" s="14">
        <v>2</v>
      </c>
      <c r="F30" s="16" t="s">
        <v>177</v>
      </c>
      <c r="G30" s="17">
        <v>2095374000</v>
      </c>
      <c r="H30" s="18">
        <f t="shared" si="0"/>
        <v>0.79117231942402366</v>
      </c>
      <c r="I30" s="19">
        <f>'Juni DAK'!M30</f>
        <v>16026856</v>
      </c>
      <c r="J30" s="190">
        <f>'Juni DAK'!N30</f>
        <v>0.76486851511949661</v>
      </c>
      <c r="K30" s="21">
        <f>400000+250000+1400000+1212500+1400000+1100000+11723747+7933000+270000+90000+900000+300000</f>
        <v>26979247</v>
      </c>
      <c r="L30" s="20">
        <f t="shared" si="1"/>
        <v>1.2875623635685085</v>
      </c>
      <c r="M30" s="21">
        <f t="shared" si="4"/>
        <v>43006103</v>
      </c>
      <c r="N30" s="20">
        <f t="shared" si="2"/>
        <v>2.0524308786880052</v>
      </c>
      <c r="O30" s="22"/>
      <c r="P30" s="21">
        <f t="shared" si="3"/>
        <v>2052367897</v>
      </c>
    </row>
    <row r="31" spans="1:16" s="49" customFormat="1" ht="23.25" customHeight="1">
      <c r="A31" s="36">
        <v>2</v>
      </c>
      <c r="B31" s="36">
        <v>8</v>
      </c>
      <c r="C31" s="36">
        <v>7</v>
      </c>
      <c r="D31" s="37"/>
      <c r="E31" s="36"/>
      <c r="F31" s="38" t="s">
        <v>84</v>
      </c>
      <c r="G31" s="46">
        <f>G32</f>
        <v>182548000</v>
      </c>
      <c r="H31" s="40">
        <f t="shared" si="0"/>
        <v>6.8926561351919352E-2</v>
      </c>
      <c r="I31" s="41">
        <f>'Juni DAK'!M31</f>
        <v>11682000</v>
      </c>
      <c r="J31" s="42">
        <f>'Juni DAK'!N31</f>
        <v>6.3994127571926285</v>
      </c>
      <c r="K31" s="46">
        <f>K32</f>
        <v>33625684</v>
      </c>
      <c r="L31" s="43">
        <f t="shared" si="1"/>
        <v>18.420187567105639</v>
      </c>
      <c r="M31" s="39">
        <f t="shared" si="4"/>
        <v>45307684</v>
      </c>
      <c r="N31" s="43">
        <f t="shared" si="2"/>
        <v>24.819600324298268</v>
      </c>
      <c r="O31" s="44"/>
      <c r="P31" s="39">
        <f t="shared" si="3"/>
        <v>137240316</v>
      </c>
    </row>
    <row r="32" spans="1:16" s="106" customFormat="1" ht="36.75" customHeight="1">
      <c r="A32" s="5">
        <v>2</v>
      </c>
      <c r="B32" s="5">
        <v>8</v>
      </c>
      <c r="C32" s="5">
        <v>7</v>
      </c>
      <c r="D32" s="6" t="s">
        <v>7</v>
      </c>
      <c r="E32" s="5"/>
      <c r="F32" s="7" t="s">
        <v>174</v>
      </c>
      <c r="G32" s="45">
        <f>G33</f>
        <v>182548000</v>
      </c>
      <c r="H32" s="9">
        <f t="shared" si="0"/>
        <v>6.8926561351919352E-2</v>
      </c>
      <c r="I32" s="10">
        <f>'Juni DAK'!M32</f>
        <v>11682000</v>
      </c>
      <c r="J32" s="11">
        <f>'Juni DAK'!N32</f>
        <v>6.3994127571926285</v>
      </c>
      <c r="K32" s="45">
        <f>K33</f>
        <v>33625684</v>
      </c>
      <c r="L32" s="12">
        <f t="shared" si="1"/>
        <v>18.420187567105639</v>
      </c>
      <c r="M32" s="8">
        <f t="shared" si="4"/>
        <v>45307684</v>
      </c>
      <c r="N32" s="12">
        <f t="shared" si="2"/>
        <v>24.819600324298268</v>
      </c>
      <c r="O32" s="13"/>
      <c r="P32" s="8">
        <f t="shared" si="3"/>
        <v>137240316</v>
      </c>
    </row>
    <row r="33" spans="1:20" s="3" customFormat="1" ht="30.75" customHeight="1">
      <c r="A33" s="14">
        <v>2</v>
      </c>
      <c r="B33" s="14">
        <v>8</v>
      </c>
      <c r="C33" s="14">
        <v>7</v>
      </c>
      <c r="D33" s="15" t="s">
        <v>7</v>
      </c>
      <c r="E33" s="14">
        <v>7</v>
      </c>
      <c r="F33" s="168" t="s">
        <v>175</v>
      </c>
      <c r="G33" s="17">
        <v>182548000</v>
      </c>
      <c r="H33" s="18">
        <f t="shared" si="0"/>
        <v>6.8926561351919352E-2</v>
      </c>
      <c r="I33" s="19">
        <f>'Juni DAK'!M33</f>
        <v>11682000</v>
      </c>
      <c r="J33" s="190">
        <f>'Juni DAK'!N33</f>
        <v>6.3994127571926285</v>
      </c>
      <c r="K33" s="21">
        <f>1100000+1500000+800000+675000+10410000+8127084+375000+10638600</f>
        <v>33625684</v>
      </c>
      <c r="L33" s="20">
        <f t="shared" si="1"/>
        <v>18.420187567105639</v>
      </c>
      <c r="M33" s="21">
        <f t="shared" si="4"/>
        <v>45307684</v>
      </c>
      <c r="N33" s="20">
        <f t="shared" si="2"/>
        <v>24.819600324298268</v>
      </c>
      <c r="O33" s="22"/>
      <c r="P33" s="21">
        <f t="shared" si="3"/>
        <v>137240316</v>
      </c>
    </row>
    <row r="34" spans="1:20" s="58" customFormat="1" ht="27" customHeight="1">
      <c r="A34" s="50"/>
      <c r="B34" s="50"/>
      <c r="C34" s="50"/>
      <c r="D34" s="51"/>
      <c r="E34" s="52"/>
      <c r="F34" s="53" t="s">
        <v>48</v>
      </c>
      <c r="G34" s="54">
        <f>G16+G18+G21+G23+G26+G29+G32</f>
        <v>2648442000</v>
      </c>
      <c r="H34" s="114">
        <f t="shared" si="0"/>
        <v>1</v>
      </c>
      <c r="I34" s="195">
        <f>'Juni DAK'!M34</f>
        <v>51132712</v>
      </c>
      <c r="J34" s="55">
        <f>'Juni DAK'!N34</f>
        <v>1.9306713909536248</v>
      </c>
      <c r="K34" s="54">
        <f>K15+K20+K28+K31</f>
        <v>109659931</v>
      </c>
      <c r="L34" s="56">
        <f t="shared" si="1"/>
        <v>4.1405449316994671</v>
      </c>
      <c r="M34" s="54">
        <f>M15+M20+M28+M31</f>
        <v>160792643</v>
      </c>
      <c r="N34" s="56">
        <f t="shared" si="2"/>
        <v>6.0712163226530915</v>
      </c>
      <c r="O34" s="57"/>
      <c r="P34" s="116">
        <f t="shared" si="3"/>
        <v>2487649357</v>
      </c>
    </row>
    <row r="35" spans="1:20" s="3" customFormat="1">
      <c r="A35" s="161"/>
      <c r="B35" s="78"/>
      <c r="C35" s="78"/>
      <c r="D35" s="31"/>
      <c r="E35" s="32"/>
      <c r="F35" s="33"/>
      <c r="G35" s="34"/>
      <c r="H35" s="79"/>
      <c r="I35" s="80" t="s">
        <v>0</v>
      </c>
      <c r="J35" s="80"/>
      <c r="K35" s="203" t="s">
        <v>208</v>
      </c>
      <c r="L35" s="80"/>
      <c r="M35" s="80"/>
      <c r="N35" s="80"/>
      <c r="O35" s="81"/>
      <c r="P35" s="80"/>
    </row>
    <row r="36" spans="1:20" s="3" customFormat="1" ht="17.25" customHeight="1">
      <c r="A36" s="162"/>
      <c r="B36" s="82"/>
      <c r="C36" s="78"/>
      <c r="D36" s="83"/>
      <c r="E36" s="80"/>
      <c r="F36" s="80"/>
      <c r="G36" s="117"/>
      <c r="H36" s="79"/>
      <c r="I36" s="84"/>
      <c r="J36" s="80"/>
      <c r="K36" s="80"/>
      <c r="L36" s="80"/>
      <c r="M36" s="250"/>
      <c r="N36" s="250"/>
      <c r="O36" s="250"/>
      <c r="P36" s="85" t="s">
        <v>0</v>
      </c>
    </row>
    <row r="37" spans="1:20" s="3" customFormat="1" ht="18" customHeight="1">
      <c r="A37" s="162"/>
      <c r="B37" s="82"/>
      <c r="C37" s="78"/>
      <c r="D37" s="83"/>
      <c r="E37" s="32"/>
      <c r="F37" s="32"/>
      <c r="G37" s="86"/>
      <c r="H37" s="79"/>
      <c r="I37" s="80"/>
      <c r="J37" s="80"/>
      <c r="K37" s="80"/>
      <c r="L37" s="80"/>
      <c r="M37" s="244" t="s">
        <v>200</v>
      </c>
      <c r="N37" s="244"/>
      <c r="O37" s="244"/>
      <c r="P37" s="87"/>
    </row>
    <row r="38" spans="1:20" s="3" customFormat="1">
      <c r="A38" s="129"/>
      <c r="B38" s="88"/>
      <c r="C38" s="89"/>
      <c r="D38" s="90"/>
      <c r="E38" s="1"/>
      <c r="F38" s="1"/>
      <c r="G38" s="1"/>
      <c r="H38" s="91"/>
      <c r="I38" s="1"/>
      <c r="M38" s="250" t="s">
        <v>139</v>
      </c>
      <c r="N38" s="250"/>
      <c r="O38" s="250"/>
    </row>
    <row r="39" spans="1:20" s="3" customFormat="1">
      <c r="A39" s="129"/>
      <c r="B39" s="88"/>
      <c r="C39" s="89"/>
      <c r="D39" s="90"/>
      <c r="E39" s="1"/>
      <c r="F39" s="1"/>
      <c r="G39" s="2"/>
      <c r="H39" s="91"/>
      <c r="I39" s="1"/>
      <c r="M39" s="251"/>
      <c r="N39" s="251"/>
      <c r="O39" s="251"/>
    </row>
    <row r="40" spans="1:20" s="3" customFormat="1" ht="15" customHeight="1">
      <c r="A40" s="129"/>
      <c r="B40" s="88"/>
      <c r="C40" s="89"/>
      <c r="D40" s="90"/>
      <c r="E40" s="1"/>
      <c r="F40" s="1"/>
      <c r="G40" s="1"/>
      <c r="H40" s="91"/>
      <c r="I40" s="1"/>
      <c r="M40" s="246"/>
      <c r="N40" s="246"/>
      <c r="O40" s="246"/>
    </row>
    <row r="41" spans="1:20" s="3" customFormat="1" ht="15" customHeight="1">
      <c r="A41" s="129" t="s">
        <v>0</v>
      </c>
      <c r="B41" s="88"/>
      <c r="C41" s="89"/>
      <c r="D41" s="90"/>
      <c r="E41" s="1"/>
      <c r="F41" s="1"/>
      <c r="G41" s="92"/>
      <c r="H41" s="91"/>
      <c r="M41" s="245" t="s">
        <v>194</v>
      </c>
      <c r="N41" s="245"/>
      <c r="O41" s="245"/>
    </row>
    <row r="42" spans="1:20" s="64" customFormat="1">
      <c r="A42" s="163"/>
      <c r="B42" s="94"/>
      <c r="C42" s="95"/>
      <c r="D42" s="96"/>
      <c r="E42" s="93"/>
      <c r="F42" s="93"/>
      <c r="G42" s="97"/>
      <c r="H42" s="98"/>
      <c r="M42" s="242" t="s">
        <v>196</v>
      </c>
      <c r="N42" s="242"/>
      <c r="O42" s="242"/>
      <c r="Q42" s="59"/>
      <c r="R42" s="59"/>
      <c r="S42" s="59"/>
      <c r="T42" s="59"/>
    </row>
    <row r="43" spans="1:20" s="64" customFormat="1">
      <c r="A43" s="163"/>
      <c r="B43" s="94"/>
      <c r="C43" s="95"/>
      <c r="D43" s="96"/>
      <c r="E43" s="93"/>
      <c r="F43" s="93"/>
      <c r="G43" s="97"/>
      <c r="H43" s="98"/>
      <c r="M43" s="242" t="s">
        <v>195</v>
      </c>
      <c r="N43" s="242"/>
      <c r="O43" s="242"/>
      <c r="Q43" s="59"/>
      <c r="R43" s="59"/>
      <c r="S43" s="59"/>
      <c r="T43" s="59"/>
    </row>
    <row r="44" spans="1:20" s="64" customFormat="1">
      <c r="A44" s="163"/>
      <c r="B44" s="94"/>
      <c r="C44" s="95"/>
      <c r="D44" s="96"/>
      <c r="E44" s="93"/>
      <c r="F44" s="93"/>
      <c r="G44" s="97"/>
      <c r="H44" s="98"/>
      <c r="M44" s="242"/>
      <c r="N44" s="242"/>
      <c r="O44" s="242"/>
      <c r="Q44" s="59"/>
      <c r="R44" s="59"/>
      <c r="S44" s="59"/>
      <c r="T44" s="59"/>
    </row>
    <row r="45" spans="1:20" s="64" customFormat="1">
      <c r="A45" s="163"/>
      <c r="B45" s="94"/>
      <c r="C45" s="95"/>
      <c r="D45" s="96"/>
      <c r="E45" s="93"/>
      <c r="F45" s="93"/>
      <c r="G45" s="97"/>
      <c r="H45" s="98"/>
      <c r="Q45" s="59"/>
      <c r="R45" s="59"/>
      <c r="S45" s="59"/>
      <c r="T45" s="59"/>
    </row>
  </sheetData>
  <mergeCells count="35">
    <mergeCell ref="A1:P1"/>
    <mergeCell ref="A2:P2"/>
    <mergeCell ref="A3:P3"/>
    <mergeCell ref="A5:E5"/>
    <mergeCell ref="A6:E6"/>
    <mergeCell ref="F6:P6"/>
    <mergeCell ref="A14:E14"/>
    <mergeCell ref="A7:E7"/>
    <mergeCell ref="A8:E8"/>
    <mergeCell ref="A10:E10"/>
    <mergeCell ref="F10:F1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M36:O36"/>
    <mergeCell ref="M44:O44"/>
    <mergeCell ref="M38:O38"/>
    <mergeCell ref="M39:O39"/>
    <mergeCell ref="M40:O40"/>
    <mergeCell ref="M41:O41"/>
    <mergeCell ref="M42:O42"/>
    <mergeCell ref="M43:O43"/>
    <mergeCell ref="M37:O37"/>
  </mergeCells>
  <pageMargins left="1.2" right="0.7" top="0.75" bottom="0.75" header="0.3" footer="0.3"/>
  <pageSetup paperSize="5" scale="70" orientation="landscape" horizontalDpi="4294967292" verticalDpi="4294967295" r:id="rId1"/>
  <rowBreaks count="1" manualBreakCount="1">
    <brk id="44" max="17" man="1"/>
  </rowBreaks>
</worksheet>
</file>

<file path=xl/worksheets/sheet16.xml><?xml version="1.0" encoding="utf-8"?>
<worksheet xmlns="http://schemas.openxmlformats.org/spreadsheetml/2006/main" xmlns:r="http://schemas.openxmlformats.org/officeDocument/2006/relationships">
  <dimension ref="A1:T45"/>
  <sheetViews>
    <sheetView showGridLines="0" view="pageBreakPreview" zoomScaleNormal="100" zoomScaleSheetLayoutView="100" workbookViewId="0">
      <selection activeCell="F5" sqref="F5"/>
    </sheetView>
  </sheetViews>
  <sheetFormatPr defaultColWidth="9.140625" defaultRowHeight="15"/>
  <cols>
    <col min="1" max="1" width="3.5703125" style="64" customWidth="1"/>
    <col min="2" max="2" width="3.85546875" style="100" customWidth="1"/>
    <col min="3" max="3" width="3.7109375" style="100" customWidth="1"/>
    <col min="4" max="4" width="4.140625" style="101" customWidth="1"/>
    <col min="5" max="5" width="3.140625" style="99" customWidth="1"/>
    <col min="6" max="6" width="68.140625" style="99" customWidth="1"/>
    <col min="7" max="7" width="14.42578125" style="102" customWidth="1"/>
    <col min="8" max="8" width="10" style="63" customWidth="1"/>
    <col min="9" max="9" width="14" style="64" customWidth="1"/>
    <col min="10" max="10" width="7.7109375" style="64" customWidth="1"/>
    <col min="11" max="11" width="12.28515625" style="64" customWidth="1"/>
    <col min="12" max="12" width="8.140625" style="64" customWidth="1"/>
    <col min="13" max="13" width="14.28515625" style="64" customWidth="1"/>
    <col min="14" max="14" width="7.42578125" style="64" customWidth="1"/>
    <col min="15" max="15" width="7.85546875" style="64" customWidth="1"/>
    <col min="16" max="16" width="15.14062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161</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160"/>
      <c r="B4" s="60"/>
      <c r="C4" s="60"/>
      <c r="D4" s="61"/>
      <c r="E4" s="60"/>
      <c r="F4" s="60"/>
      <c r="G4" s="62"/>
    </row>
    <row r="5" spans="1:17" ht="15" customHeight="1">
      <c r="A5" s="257" t="s">
        <v>42</v>
      </c>
      <c r="B5" s="257"/>
      <c r="C5" s="257"/>
      <c r="D5" s="257"/>
      <c r="E5" s="257"/>
      <c r="F5" s="65" t="s">
        <v>44</v>
      </c>
      <c r="G5" s="66"/>
      <c r="H5" s="66"/>
      <c r="I5" s="66"/>
      <c r="J5" s="66"/>
      <c r="K5" s="66"/>
      <c r="L5" s="66"/>
      <c r="M5" s="66"/>
      <c r="N5" s="66"/>
      <c r="O5" s="66"/>
      <c r="P5" s="66"/>
    </row>
    <row r="6" spans="1:17" ht="15" customHeight="1">
      <c r="A6" s="267" t="s">
        <v>162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37" t="s">
        <v>45</v>
      </c>
      <c r="G7" s="68"/>
      <c r="H7" s="69"/>
      <c r="I7" s="70"/>
      <c r="J7" s="70"/>
      <c r="K7" s="70"/>
      <c r="L7" s="70"/>
      <c r="M7" s="70"/>
      <c r="N7" s="70"/>
      <c r="O7" s="70"/>
      <c r="P7" s="70"/>
    </row>
    <row r="8" spans="1:17" ht="15" customHeight="1">
      <c r="A8" s="257" t="s">
        <v>40</v>
      </c>
      <c r="B8" s="257"/>
      <c r="C8" s="257"/>
      <c r="D8" s="257"/>
      <c r="E8" s="257"/>
      <c r="F8" s="237" t="s">
        <v>206</v>
      </c>
      <c r="G8" s="68"/>
      <c r="H8" s="69"/>
      <c r="I8" s="70"/>
      <c r="J8" s="70"/>
      <c r="K8" s="70"/>
      <c r="L8" s="70"/>
      <c r="M8" s="70"/>
      <c r="N8" s="70"/>
      <c r="O8" s="70"/>
      <c r="P8" s="70"/>
    </row>
    <row r="9" spans="1:17" ht="15" customHeight="1">
      <c r="A9" s="160"/>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33</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39" t="s">
        <v>30</v>
      </c>
      <c r="P12" s="252"/>
      <c r="Q12" s="74"/>
    </row>
    <row r="13" spans="1:17" ht="15" customHeight="1">
      <c r="A13" s="255"/>
      <c r="B13" s="255"/>
      <c r="C13" s="255"/>
      <c r="D13" s="255"/>
      <c r="E13" s="255"/>
      <c r="F13" s="263"/>
      <c r="G13" s="252"/>
      <c r="H13" s="256"/>
      <c r="I13" s="239" t="s">
        <v>29</v>
      </c>
      <c r="J13" s="239" t="s">
        <v>28</v>
      </c>
      <c r="K13" s="239" t="s">
        <v>29</v>
      </c>
      <c r="L13" s="239" t="s">
        <v>28</v>
      </c>
      <c r="M13" s="239" t="s">
        <v>29</v>
      </c>
      <c r="N13" s="239" t="s">
        <v>28</v>
      </c>
      <c r="O13" s="239" t="s">
        <v>28</v>
      </c>
      <c r="P13" s="252"/>
      <c r="Q13" s="74"/>
    </row>
    <row r="14" spans="1:17" s="75" customFormat="1" ht="17.25" customHeight="1">
      <c r="A14" s="270">
        <v>1</v>
      </c>
      <c r="B14" s="271"/>
      <c r="C14" s="271"/>
      <c r="D14" s="271"/>
      <c r="E14" s="272"/>
      <c r="F14" s="238">
        <v>2</v>
      </c>
      <c r="G14" s="50">
        <v>3</v>
      </c>
      <c r="H14" s="194">
        <v>4</v>
      </c>
      <c r="I14" s="239">
        <v>5</v>
      </c>
      <c r="J14" s="239">
        <v>6</v>
      </c>
      <c r="K14" s="239">
        <v>8</v>
      </c>
      <c r="L14" s="239">
        <v>9</v>
      </c>
      <c r="M14" s="239">
        <v>11</v>
      </c>
      <c r="N14" s="239">
        <v>12</v>
      </c>
      <c r="O14" s="239">
        <v>13</v>
      </c>
      <c r="P14" s="239">
        <v>14</v>
      </c>
    </row>
    <row r="15" spans="1:17" s="49" customFormat="1" ht="23.25" customHeight="1">
      <c r="A15" s="36">
        <v>2</v>
      </c>
      <c r="B15" s="36">
        <v>8</v>
      </c>
      <c r="C15" s="36">
        <v>3</v>
      </c>
      <c r="D15" s="37"/>
      <c r="E15" s="36"/>
      <c r="F15" s="38" t="s">
        <v>85</v>
      </c>
      <c r="G15" s="47">
        <f>G16+G18</f>
        <v>69000000</v>
      </c>
      <c r="H15" s="40">
        <f t="shared" ref="H15:H34" si="0">+G15/$G$34*100%</f>
        <v>2.6053053077998309E-2</v>
      </c>
      <c r="I15" s="41">
        <f>'Juli DAK'!M15</f>
        <v>28215000</v>
      </c>
      <c r="J15" s="42">
        <f>'Juli DAK'!N15</f>
        <v>40.891304347826086</v>
      </c>
      <c r="K15" s="47">
        <f>K16+K18</f>
        <v>0</v>
      </c>
      <c r="L15" s="43">
        <f t="shared" ref="L15:L34" si="1">K15/G15*100</f>
        <v>0</v>
      </c>
      <c r="M15" s="39">
        <f>I15+K15</f>
        <v>28215000</v>
      </c>
      <c r="N15" s="43">
        <f t="shared" ref="N15:N34" si="2">M15/G15*100</f>
        <v>40.891304347826086</v>
      </c>
      <c r="O15" s="44"/>
      <c r="P15" s="39">
        <f t="shared" ref="P15:P34" si="3">G15-M15</f>
        <v>40785000</v>
      </c>
    </row>
    <row r="16" spans="1:17" s="106" customFormat="1" ht="36" customHeight="1">
      <c r="A16" s="5">
        <v>2</v>
      </c>
      <c r="B16" s="5">
        <v>8</v>
      </c>
      <c r="C16" s="5">
        <v>3</v>
      </c>
      <c r="D16" s="6" t="s">
        <v>8</v>
      </c>
      <c r="E16" s="5"/>
      <c r="F16" s="7" t="s">
        <v>164</v>
      </c>
      <c r="G16" s="45">
        <f>G17</f>
        <v>48500000</v>
      </c>
      <c r="H16" s="9">
        <f t="shared" si="0"/>
        <v>1.8312653250477071E-2</v>
      </c>
      <c r="I16" s="10">
        <f>'Juli DAK'!M16</f>
        <v>21615000</v>
      </c>
      <c r="J16" s="11">
        <f>'Juli DAK'!N16</f>
        <v>44.567010309278352</v>
      </c>
      <c r="K16" s="45">
        <f>K17</f>
        <v>0</v>
      </c>
      <c r="L16" s="12">
        <f t="shared" si="1"/>
        <v>0</v>
      </c>
      <c r="M16" s="8">
        <f t="shared" ref="M16:M33" si="4">I16+K16</f>
        <v>21615000</v>
      </c>
      <c r="N16" s="12">
        <f t="shared" si="2"/>
        <v>44.567010309278352</v>
      </c>
      <c r="O16" s="13"/>
      <c r="P16" s="8">
        <f t="shared" si="3"/>
        <v>26885000</v>
      </c>
    </row>
    <row r="17" spans="1:16" s="3" customFormat="1" ht="38.25" customHeight="1">
      <c r="A17" s="14">
        <v>2</v>
      </c>
      <c r="B17" s="14">
        <v>8</v>
      </c>
      <c r="C17" s="14">
        <v>3</v>
      </c>
      <c r="D17" s="15" t="s">
        <v>8</v>
      </c>
      <c r="E17" s="14">
        <v>1</v>
      </c>
      <c r="F17" s="16" t="s">
        <v>165</v>
      </c>
      <c r="G17" s="17">
        <v>48500000</v>
      </c>
      <c r="H17" s="18">
        <f t="shared" si="0"/>
        <v>1.8312653250477071E-2</v>
      </c>
      <c r="I17" s="19">
        <f>'Juli DAK'!M17</f>
        <v>21615000</v>
      </c>
      <c r="J17" s="190">
        <f>'Juli DAK'!N17</f>
        <v>44.567010309278352</v>
      </c>
      <c r="K17" s="21"/>
      <c r="L17" s="20">
        <f t="shared" si="1"/>
        <v>0</v>
      </c>
      <c r="M17" s="21">
        <f t="shared" si="4"/>
        <v>21615000</v>
      </c>
      <c r="N17" s="20">
        <f t="shared" si="2"/>
        <v>44.567010309278352</v>
      </c>
      <c r="O17" s="22"/>
      <c r="P17" s="21">
        <f t="shared" si="3"/>
        <v>26885000</v>
      </c>
    </row>
    <row r="18" spans="1:16" s="106" customFormat="1" ht="36" customHeight="1">
      <c r="A18" s="5">
        <v>2</v>
      </c>
      <c r="B18" s="5">
        <v>8</v>
      </c>
      <c r="C18" s="5">
        <v>3</v>
      </c>
      <c r="D18" s="6" t="s">
        <v>14</v>
      </c>
      <c r="E18" s="5"/>
      <c r="F18" s="7" t="s">
        <v>166</v>
      </c>
      <c r="G18" s="45">
        <f>G19</f>
        <v>20500000</v>
      </c>
      <c r="H18" s="9">
        <f t="shared" si="0"/>
        <v>7.7403998275212367E-3</v>
      </c>
      <c r="I18" s="10">
        <f>'Juli DAK'!M18</f>
        <v>6600000</v>
      </c>
      <c r="J18" s="11">
        <f>'Juli DAK'!N18</f>
        <v>32.195121951219512</v>
      </c>
      <c r="K18" s="45">
        <f>K19</f>
        <v>0</v>
      </c>
      <c r="L18" s="12">
        <f t="shared" si="1"/>
        <v>0</v>
      </c>
      <c r="M18" s="8">
        <f t="shared" si="4"/>
        <v>6600000</v>
      </c>
      <c r="N18" s="12">
        <f t="shared" si="2"/>
        <v>32.195121951219512</v>
      </c>
      <c r="O18" s="13"/>
      <c r="P18" s="8">
        <f t="shared" si="3"/>
        <v>13900000</v>
      </c>
    </row>
    <row r="19" spans="1:16" s="3" customFormat="1" ht="37.5" customHeight="1">
      <c r="A19" s="14">
        <v>2</v>
      </c>
      <c r="B19" s="14">
        <v>8</v>
      </c>
      <c r="C19" s="14">
        <v>3</v>
      </c>
      <c r="D19" s="15" t="s">
        <v>14</v>
      </c>
      <c r="E19" s="14">
        <v>2</v>
      </c>
      <c r="F19" s="16" t="s">
        <v>167</v>
      </c>
      <c r="G19" s="17">
        <f>20500000</f>
        <v>20500000</v>
      </c>
      <c r="H19" s="18">
        <f t="shared" si="0"/>
        <v>7.7403998275212367E-3</v>
      </c>
      <c r="I19" s="19">
        <f>'Juli DAK'!M19</f>
        <v>6600000</v>
      </c>
      <c r="J19" s="190">
        <f>'Juli DAK'!N19</f>
        <v>32.195121951219512</v>
      </c>
      <c r="K19" s="21"/>
      <c r="L19" s="20">
        <f t="shared" si="1"/>
        <v>0</v>
      </c>
      <c r="M19" s="21">
        <f t="shared" si="4"/>
        <v>6600000</v>
      </c>
      <c r="N19" s="20">
        <f t="shared" si="2"/>
        <v>32.195121951219512</v>
      </c>
      <c r="O19" s="22"/>
      <c r="P19" s="21">
        <f t="shared" si="3"/>
        <v>13900000</v>
      </c>
    </row>
    <row r="20" spans="1:16" s="49" customFormat="1" ht="23.25" customHeight="1">
      <c r="A20" s="36">
        <v>2</v>
      </c>
      <c r="B20" s="36">
        <v>8</v>
      </c>
      <c r="C20" s="36">
        <v>7</v>
      </c>
      <c r="D20" s="37"/>
      <c r="E20" s="36"/>
      <c r="F20" s="38" t="s">
        <v>109</v>
      </c>
      <c r="G20" s="47">
        <f>G21+G23</f>
        <v>101520000</v>
      </c>
      <c r="H20" s="40">
        <f t="shared" si="0"/>
        <v>3.8331970267802731E-2</v>
      </c>
      <c r="I20" s="41">
        <f>'Juli DAK'!M20</f>
        <v>44263856</v>
      </c>
      <c r="J20" s="42">
        <f>'Juli DAK'!N20</f>
        <v>43.601118991331752</v>
      </c>
      <c r="K20" s="47">
        <f>K21+K23</f>
        <v>0</v>
      </c>
      <c r="L20" s="43">
        <f t="shared" si="1"/>
        <v>0</v>
      </c>
      <c r="M20" s="39">
        <f t="shared" si="4"/>
        <v>44263856</v>
      </c>
      <c r="N20" s="43">
        <f t="shared" si="2"/>
        <v>43.601118991331752</v>
      </c>
      <c r="O20" s="44"/>
      <c r="P20" s="39">
        <f t="shared" si="3"/>
        <v>57256144</v>
      </c>
    </row>
    <row r="21" spans="1:16" s="106" customFormat="1" ht="34.5" customHeight="1">
      <c r="A21" s="5">
        <v>2</v>
      </c>
      <c r="B21" s="5">
        <v>8</v>
      </c>
      <c r="C21" s="5">
        <v>7</v>
      </c>
      <c r="D21" s="6" t="s">
        <v>8</v>
      </c>
      <c r="E21" s="5"/>
      <c r="F21" s="7" t="s">
        <v>168</v>
      </c>
      <c r="G21" s="45">
        <f>G22</f>
        <v>53000000</v>
      </c>
      <c r="H21" s="9">
        <f t="shared" si="0"/>
        <v>2.0011765407737834E-2</v>
      </c>
      <c r="I21" s="10">
        <f>'Juli DAK'!M21</f>
        <v>15250000</v>
      </c>
      <c r="J21" s="11">
        <f>'Juli DAK'!N21</f>
        <v>28.773584905660378</v>
      </c>
      <c r="K21" s="45">
        <f>K22</f>
        <v>0</v>
      </c>
      <c r="L21" s="12">
        <f t="shared" si="1"/>
        <v>0</v>
      </c>
      <c r="M21" s="8">
        <f t="shared" si="4"/>
        <v>15250000</v>
      </c>
      <c r="N21" s="12">
        <f t="shared" si="2"/>
        <v>28.773584905660378</v>
      </c>
      <c r="O21" s="13"/>
      <c r="P21" s="8">
        <f t="shared" si="3"/>
        <v>37750000</v>
      </c>
    </row>
    <row r="22" spans="1:16" s="3" customFormat="1" ht="36.75" customHeight="1">
      <c r="A22" s="14">
        <v>2</v>
      </c>
      <c r="B22" s="14">
        <v>8</v>
      </c>
      <c r="C22" s="14">
        <v>7</v>
      </c>
      <c r="D22" s="15" t="s">
        <v>8</v>
      </c>
      <c r="E22" s="14">
        <v>2</v>
      </c>
      <c r="F22" s="16" t="s">
        <v>169</v>
      </c>
      <c r="G22" s="17">
        <f>53000000</f>
        <v>53000000</v>
      </c>
      <c r="H22" s="18">
        <f t="shared" si="0"/>
        <v>2.0011765407737834E-2</v>
      </c>
      <c r="I22" s="19">
        <f>'Juli DAK'!M22</f>
        <v>15250000</v>
      </c>
      <c r="J22" s="190">
        <f>'Juli DAK'!N22</f>
        <v>28.773584905660378</v>
      </c>
      <c r="K22" s="21"/>
      <c r="L22" s="20">
        <f t="shared" si="1"/>
        <v>0</v>
      </c>
      <c r="M22" s="21">
        <f t="shared" si="4"/>
        <v>15250000</v>
      </c>
      <c r="N22" s="20">
        <f t="shared" si="2"/>
        <v>28.773584905660378</v>
      </c>
      <c r="O22" s="22"/>
      <c r="P22" s="21">
        <f t="shared" si="3"/>
        <v>37750000</v>
      </c>
    </row>
    <row r="23" spans="1:16" s="106" customFormat="1" ht="48.75" customHeight="1">
      <c r="A23" s="5">
        <v>2</v>
      </c>
      <c r="B23" s="5">
        <v>8</v>
      </c>
      <c r="C23" s="5">
        <v>7</v>
      </c>
      <c r="D23" s="6" t="s">
        <v>14</v>
      </c>
      <c r="E23" s="5"/>
      <c r="F23" s="7" t="s">
        <v>170</v>
      </c>
      <c r="G23" s="45">
        <f>G24</f>
        <v>48520000</v>
      </c>
      <c r="H23" s="9">
        <f t="shared" si="0"/>
        <v>1.8320204860064897E-2</v>
      </c>
      <c r="I23" s="10">
        <f>'Juli DAK'!M23</f>
        <v>15390000</v>
      </c>
      <c r="J23" s="11">
        <f>'Juli DAK'!N23</f>
        <v>31.718878812860673</v>
      </c>
      <c r="K23" s="45">
        <f>K24</f>
        <v>0</v>
      </c>
      <c r="L23" s="12">
        <f t="shared" si="1"/>
        <v>0</v>
      </c>
      <c r="M23" s="8">
        <f t="shared" si="4"/>
        <v>15390000</v>
      </c>
      <c r="N23" s="12">
        <f t="shared" si="2"/>
        <v>31.718878812860673</v>
      </c>
      <c r="O23" s="13"/>
      <c r="P23" s="8">
        <f t="shared" si="3"/>
        <v>33130000</v>
      </c>
    </row>
    <row r="24" spans="1:16" s="3" customFormat="1" ht="40.5" customHeight="1">
      <c r="A24" s="14">
        <v>2</v>
      </c>
      <c r="B24" s="14">
        <v>8</v>
      </c>
      <c r="C24" s="14">
        <v>7</v>
      </c>
      <c r="D24" s="15" t="s">
        <v>14</v>
      </c>
      <c r="E24" s="14">
        <v>8</v>
      </c>
      <c r="F24" s="191" t="s">
        <v>171</v>
      </c>
      <c r="G24" s="17">
        <f>48520000</f>
        <v>48520000</v>
      </c>
      <c r="H24" s="18">
        <f t="shared" si="0"/>
        <v>1.8320204860064897E-2</v>
      </c>
      <c r="I24" s="19">
        <f>'Juli DAK'!M24</f>
        <v>15390000</v>
      </c>
      <c r="J24" s="190">
        <f>'Juli DAK'!N24</f>
        <v>31.718878812860673</v>
      </c>
      <c r="K24" s="21"/>
      <c r="L24" s="20">
        <f t="shared" si="1"/>
        <v>0</v>
      </c>
      <c r="M24" s="21">
        <f t="shared" si="4"/>
        <v>15390000</v>
      </c>
      <c r="N24" s="20">
        <f t="shared" si="2"/>
        <v>31.718878812860673</v>
      </c>
      <c r="O24" s="22"/>
      <c r="P24" s="21">
        <f t="shared" si="3"/>
        <v>33130000</v>
      </c>
    </row>
    <row r="25" spans="1:16" s="3" customFormat="1" ht="28.5" customHeight="1">
      <c r="A25" s="36">
        <v>2</v>
      </c>
      <c r="B25" s="36">
        <v>14</v>
      </c>
      <c r="C25" s="36">
        <v>4</v>
      </c>
      <c r="D25" s="37"/>
      <c r="E25" s="36"/>
      <c r="F25" s="193" t="s">
        <v>9</v>
      </c>
      <c r="G25" s="47">
        <f>G26</f>
        <v>200000000</v>
      </c>
      <c r="H25" s="40">
        <f t="shared" si="0"/>
        <v>7.5516095878255973E-2</v>
      </c>
      <c r="I25" s="41">
        <f>'Juli DAK'!M25</f>
        <v>22455856</v>
      </c>
      <c r="J25" s="42">
        <f>'Juli DAK'!N25</f>
        <v>11.227928</v>
      </c>
      <c r="K25" s="47">
        <f>K26</f>
        <v>0</v>
      </c>
      <c r="L25" s="109">
        <f t="shared" si="1"/>
        <v>0</v>
      </c>
      <c r="M25" s="39">
        <f t="shared" si="4"/>
        <v>22455856</v>
      </c>
      <c r="N25" s="43">
        <f t="shared" si="2"/>
        <v>11.227928</v>
      </c>
      <c r="O25" s="44"/>
      <c r="P25" s="39">
        <f t="shared" si="3"/>
        <v>177544144</v>
      </c>
    </row>
    <row r="26" spans="1:16" s="3" customFormat="1" ht="36.75" customHeight="1">
      <c r="A26" s="5">
        <v>2</v>
      </c>
      <c r="B26" s="5">
        <v>14</v>
      </c>
      <c r="C26" s="5">
        <v>4</v>
      </c>
      <c r="D26" s="6" t="s">
        <v>8</v>
      </c>
      <c r="E26" s="5"/>
      <c r="F26" s="167" t="s">
        <v>172</v>
      </c>
      <c r="G26" s="45">
        <f>G27</f>
        <v>200000000</v>
      </c>
      <c r="H26" s="9">
        <f t="shared" si="0"/>
        <v>7.5516095878255973E-2</v>
      </c>
      <c r="I26" s="10">
        <f>'Juli DAK'!M26</f>
        <v>13623856</v>
      </c>
      <c r="J26" s="11">
        <f>'Juli DAK'!N26</f>
        <v>6.811928</v>
      </c>
      <c r="K26" s="45">
        <f>K27</f>
        <v>0</v>
      </c>
      <c r="L26" s="108">
        <f t="shared" si="1"/>
        <v>0</v>
      </c>
      <c r="M26" s="8">
        <f t="shared" si="4"/>
        <v>13623856</v>
      </c>
      <c r="N26" s="12">
        <f t="shared" si="2"/>
        <v>6.811928</v>
      </c>
      <c r="O26" s="13"/>
      <c r="P26" s="8">
        <f t="shared" si="3"/>
        <v>186376144</v>
      </c>
    </row>
    <row r="27" spans="1:16" s="3" customFormat="1" ht="37.5" customHeight="1">
      <c r="A27" s="14">
        <v>2</v>
      </c>
      <c r="B27" s="14">
        <v>14</v>
      </c>
      <c r="C27" s="14">
        <v>4</v>
      </c>
      <c r="D27" s="15" t="s">
        <v>8</v>
      </c>
      <c r="E27" s="14">
        <v>17</v>
      </c>
      <c r="F27" s="166" t="s">
        <v>163</v>
      </c>
      <c r="G27" s="17">
        <v>200000000</v>
      </c>
      <c r="H27" s="18">
        <f t="shared" si="0"/>
        <v>7.5516095878255973E-2</v>
      </c>
      <c r="I27" s="19">
        <f>'Juli DAK'!M27</f>
        <v>0</v>
      </c>
      <c r="J27" s="190">
        <f>'Juli DAK'!N27</f>
        <v>0</v>
      </c>
      <c r="K27" s="164"/>
      <c r="L27" s="20"/>
      <c r="M27" s="30">
        <f>I27+K27</f>
        <v>0</v>
      </c>
      <c r="N27" s="29"/>
      <c r="O27" s="165"/>
      <c r="P27" s="21">
        <f>G27-M27</f>
        <v>200000000</v>
      </c>
    </row>
    <row r="28" spans="1:16" s="49" customFormat="1" ht="23.25" customHeight="1">
      <c r="A28" s="36">
        <v>2</v>
      </c>
      <c r="B28" s="36">
        <v>8</v>
      </c>
      <c r="C28" s="36">
        <v>3</v>
      </c>
      <c r="D28" s="37"/>
      <c r="E28" s="36"/>
      <c r="F28" s="38" t="s">
        <v>83</v>
      </c>
      <c r="G28" s="46">
        <f>G29</f>
        <v>2095374000</v>
      </c>
      <c r="H28" s="40">
        <f t="shared" si="0"/>
        <v>0.79117231942402366</v>
      </c>
      <c r="I28" s="41">
        <f>'Juli DAK'!M28</f>
        <v>43006103</v>
      </c>
      <c r="J28" s="42">
        <f>'Juli DAK'!N28</f>
        <v>2.0524308786880052</v>
      </c>
      <c r="K28" s="46">
        <f>K29</f>
        <v>0</v>
      </c>
      <c r="L28" s="43">
        <f t="shared" si="1"/>
        <v>0</v>
      </c>
      <c r="M28" s="39">
        <f t="shared" si="4"/>
        <v>43006103</v>
      </c>
      <c r="N28" s="43">
        <f t="shared" si="2"/>
        <v>2.0524308786880052</v>
      </c>
      <c r="O28" s="44"/>
      <c r="P28" s="39">
        <f t="shared" si="3"/>
        <v>2052367897</v>
      </c>
    </row>
    <row r="29" spans="1:16" s="106" customFormat="1" ht="51" customHeight="1">
      <c r="A29" s="5">
        <v>2</v>
      </c>
      <c r="B29" s="5">
        <v>8</v>
      </c>
      <c r="C29" s="5">
        <v>3</v>
      </c>
      <c r="D29" s="6" t="s">
        <v>7</v>
      </c>
      <c r="E29" s="5"/>
      <c r="F29" s="7" t="s">
        <v>176</v>
      </c>
      <c r="G29" s="45">
        <f>G30</f>
        <v>2095374000</v>
      </c>
      <c r="H29" s="9">
        <f t="shared" si="0"/>
        <v>0.79117231942402366</v>
      </c>
      <c r="I29" s="10">
        <f>'Juli DAK'!M29</f>
        <v>43006103</v>
      </c>
      <c r="J29" s="11">
        <f>'Juli DAK'!N29</f>
        <v>2.0524308786880052</v>
      </c>
      <c r="K29" s="45">
        <f>K30</f>
        <v>0</v>
      </c>
      <c r="L29" s="12">
        <f t="shared" si="1"/>
        <v>0</v>
      </c>
      <c r="M29" s="8">
        <f t="shared" si="4"/>
        <v>43006103</v>
      </c>
      <c r="N29" s="12">
        <f t="shared" si="2"/>
        <v>2.0524308786880052</v>
      </c>
      <c r="O29" s="13"/>
      <c r="P29" s="8">
        <f t="shared" si="3"/>
        <v>2052367897</v>
      </c>
    </row>
    <row r="30" spans="1:16" s="3" customFormat="1" ht="39.75" customHeight="1">
      <c r="A30" s="14">
        <v>2</v>
      </c>
      <c r="B30" s="14">
        <v>8</v>
      </c>
      <c r="C30" s="14">
        <v>3</v>
      </c>
      <c r="D30" s="15" t="s">
        <v>7</v>
      </c>
      <c r="E30" s="14">
        <v>2</v>
      </c>
      <c r="F30" s="16" t="s">
        <v>177</v>
      </c>
      <c r="G30" s="17">
        <v>2095374000</v>
      </c>
      <c r="H30" s="18">
        <f t="shared" si="0"/>
        <v>0.79117231942402366</v>
      </c>
      <c r="I30" s="19">
        <f>'Juli DAK'!M30</f>
        <v>43006103</v>
      </c>
      <c r="J30" s="190">
        <f>'Juli DAK'!N30</f>
        <v>2.0524308786880052</v>
      </c>
      <c r="K30" s="21"/>
      <c r="L30" s="20">
        <f t="shared" si="1"/>
        <v>0</v>
      </c>
      <c r="M30" s="21">
        <f t="shared" si="4"/>
        <v>43006103</v>
      </c>
      <c r="N30" s="20">
        <f t="shared" si="2"/>
        <v>2.0524308786880052</v>
      </c>
      <c r="O30" s="22"/>
      <c r="P30" s="21">
        <f t="shared" si="3"/>
        <v>2052367897</v>
      </c>
    </row>
    <row r="31" spans="1:16" s="49" customFormat="1" ht="23.25" customHeight="1">
      <c r="A31" s="36">
        <v>2</v>
      </c>
      <c r="B31" s="36">
        <v>8</v>
      </c>
      <c r="C31" s="36">
        <v>7</v>
      </c>
      <c r="D31" s="37"/>
      <c r="E31" s="36"/>
      <c r="F31" s="38" t="s">
        <v>84</v>
      </c>
      <c r="G31" s="46">
        <f>G32</f>
        <v>182548000</v>
      </c>
      <c r="H31" s="40">
        <f t="shared" si="0"/>
        <v>6.8926561351919352E-2</v>
      </c>
      <c r="I31" s="41">
        <f>'Juli DAK'!M31</f>
        <v>45307684</v>
      </c>
      <c r="J31" s="42">
        <f>'Juli DAK'!N31</f>
        <v>24.819600324298268</v>
      </c>
      <c r="K31" s="46">
        <f>K32</f>
        <v>0</v>
      </c>
      <c r="L31" s="43">
        <f t="shared" si="1"/>
        <v>0</v>
      </c>
      <c r="M31" s="39">
        <f t="shared" si="4"/>
        <v>45307684</v>
      </c>
      <c r="N31" s="43">
        <f t="shared" si="2"/>
        <v>24.819600324298268</v>
      </c>
      <c r="O31" s="44"/>
      <c r="P31" s="39">
        <f t="shared" si="3"/>
        <v>137240316</v>
      </c>
    </row>
    <row r="32" spans="1:16" s="106" customFormat="1" ht="36.75" customHeight="1">
      <c r="A32" s="5">
        <v>2</v>
      </c>
      <c r="B32" s="5">
        <v>8</v>
      </c>
      <c r="C32" s="5">
        <v>7</v>
      </c>
      <c r="D32" s="6" t="s">
        <v>7</v>
      </c>
      <c r="E32" s="5"/>
      <c r="F32" s="7" t="s">
        <v>174</v>
      </c>
      <c r="G32" s="45">
        <f>G33</f>
        <v>182548000</v>
      </c>
      <c r="H32" s="9">
        <f t="shared" si="0"/>
        <v>6.8926561351919352E-2</v>
      </c>
      <c r="I32" s="10">
        <f>'Juli DAK'!M32</f>
        <v>45307684</v>
      </c>
      <c r="J32" s="11">
        <f>'Juli DAK'!N32</f>
        <v>24.819600324298268</v>
      </c>
      <c r="K32" s="45">
        <f>K33</f>
        <v>0</v>
      </c>
      <c r="L32" s="12">
        <f t="shared" si="1"/>
        <v>0</v>
      </c>
      <c r="M32" s="8">
        <f t="shared" si="4"/>
        <v>45307684</v>
      </c>
      <c r="N32" s="12">
        <f t="shared" si="2"/>
        <v>24.819600324298268</v>
      </c>
      <c r="O32" s="13"/>
      <c r="P32" s="8">
        <f t="shared" si="3"/>
        <v>137240316</v>
      </c>
    </row>
    <row r="33" spans="1:20" s="3" customFormat="1" ht="30.75" customHeight="1">
      <c r="A33" s="14">
        <v>2</v>
      </c>
      <c r="B33" s="14">
        <v>8</v>
      </c>
      <c r="C33" s="14">
        <v>7</v>
      </c>
      <c r="D33" s="15" t="s">
        <v>7</v>
      </c>
      <c r="E33" s="14">
        <v>7</v>
      </c>
      <c r="F33" s="168" t="s">
        <v>175</v>
      </c>
      <c r="G33" s="17">
        <v>182548000</v>
      </c>
      <c r="H33" s="18">
        <f t="shared" si="0"/>
        <v>6.8926561351919352E-2</v>
      </c>
      <c r="I33" s="19">
        <f>'Juli DAK'!M33</f>
        <v>45307684</v>
      </c>
      <c r="J33" s="190">
        <f>'Juli DAK'!N33</f>
        <v>24.819600324298268</v>
      </c>
      <c r="K33" s="21"/>
      <c r="L33" s="20">
        <f t="shared" si="1"/>
        <v>0</v>
      </c>
      <c r="M33" s="21">
        <f t="shared" si="4"/>
        <v>45307684</v>
      </c>
      <c r="N33" s="20">
        <f t="shared" si="2"/>
        <v>24.819600324298268</v>
      </c>
      <c r="O33" s="22"/>
      <c r="P33" s="21">
        <f t="shared" si="3"/>
        <v>137240316</v>
      </c>
    </row>
    <row r="34" spans="1:20" s="58" customFormat="1" ht="27" customHeight="1">
      <c r="A34" s="50"/>
      <c r="B34" s="50"/>
      <c r="C34" s="50"/>
      <c r="D34" s="51"/>
      <c r="E34" s="52"/>
      <c r="F34" s="53" t="s">
        <v>48</v>
      </c>
      <c r="G34" s="54">
        <f>G16+G18+G21+G23+G26+G29+G32</f>
        <v>2648442000</v>
      </c>
      <c r="H34" s="114">
        <f t="shared" si="0"/>
        <v>1</v>
      </c>
      <c r="I34" s="195">
        <f>'Juli DAK'!M34</f>
        <v>160792643</v>
      </c>
      <c r="J34" s="55">
        <f>'Juli DAK'!N34</f>
        <v>6.0712163226530915</v>
      </c>
      <c r="K34" s="54">
        <f>K15+K20+K28+K31</f>
        <v>0</v>
      </c>
      <c r="L34" s="56">
        <f t="shared" si="1"/>
        <v>0</v>
      </c>
      <c r="M34" s="54">
        <f>M15+M20+M28+M31</f>
        <v>160792643</v>
      </c>
      <c r="N34" s="56">
        <f t="shared" si="2"/>
        <v>6.0712163226530915</v>
      </c>
      <c r="O34" s="57"/>
      <c r="P34" s="116">
        <f t="shared" si="3"/>
        <v>2487649357</v>
      </c>
    </row>
    <row r="35" spans="1:20" s="3" customFormat="1">
      <c r="A35" s="161"/>
      <c r="B35" s="78"/>
      <c r="C35" s="78"/>
      <c r="D35" s="31"/>
      <c r="E35" s="32"/>
      <c r="F35" s="33"/>
      <c r="G35" s="34"/>
      <c r="H35" s="79"/>
      <c r="I35" s="80" t="s">
        <v>0</v>
      </c>
      <c r="J35" s="80"/>
      <c r="K35" s="203"/>
      <c r="L35" s="80"/>
      <c r="M35" s="80"/>
      <c r="N35" s="80"/>
      <c r="O35" s="81"/>
      <c r="P35" s="80"/>
    </row>
    <row r="36" spans="1:20" s="3" customFormat="1" ht="17.25" customHeight="1">
      <c r="A36" s="162"/>
      <c r="B36" s="82"/>
      <c r="C36" s="78"/>
      <c r="D36" s="83"/>
      <c r="E36" s="80"/>
      <c r="F36" s="80"/>
      <c r="G36" s="117"/>
      <c r="H36" s="79"/>
      <c r="I36" s="84"/>
      <c r="J36" s="80"/>
      <c r="K36" s="80"/>
      <c r="L36" s="80"/>
      <c r="M36" s="250"/>
      <c r="N36" s="250"/>
      <c r="O36" s="250"/>
      <c r="P36" s="85" t="s">
        <v>0</v>
      </c>
    </row>
    <row r="37" spans="1:20" s="3" customFormat="1" ht="18" customHeight="1">
      <c r="A37" s="162"/>
      <c r="B37" s="82"/>
      <c r="C37" s="78"/>
      <c r="D37" s="83"/>
      <c r="E37" s="32"/>
      <c r="F37" s="32"/>
      <c r="G37" s="86"/>
      <c r="H37" s="79"/>
      <c r="I37" s="80"/>
      <c r="J37" s="80"/>
      <c r="K37" s="80"/>
      <c r="L37" s="80"/>
      <c r="M37" s="244" t="s">
        <v>205</v>
      </c>
      <c r="N37" s="244"/>
      <c r="O37" s="244"/>
      <c r="P37" s="87"/>
    </row>
    <row r="38" spans="1:20" s="3" customFormat="1">
      <c r="A38" s="129"/>
      <c r="B38" s="88"/>
      <c r="C38" s="89"/>
      <c r="D38" s="90"/>
      <c r="E38" s="1"/>
      <c r="F38" s="1"/>
      <c r="G38" s="1"/>
      <c r="H38" s="91"/>
      <c r="I38" s="1"/>
      <c r="M38" s="250" t="s">
        <v>139</v>
      </c>
      <c r="N38" s="250"/>
      <c r="O38" s="250"/>
    </row>
    <row r="39" spans="1:20" s="3" customFormat="1">
      <c r="A39" s="129"/>
      <c r="B39" s="88"/>
      <c r="C39" s="89"/>
      <c r="D39" s="90"/>
      <c r="E39" s="1"/>
      <c r="F39" s="1"/>
      <c r="G39" s="2"/>
      <c r="H39" s="91"/>
      <c r="I39" s="1"/>
      <c r="M39" s="251"/>
      <c r="N39" s="251"/>
      <c r="O39" s="251"/>
    </row>
    <row r="40" spans="1:20" s="3" customFormat="1" ht="15" customHeight="1">
      <c r="A40" s="129"/>
      <c r="B40" s="88"/>
      <c r="C40" s="89"/>
      <c r="D40" s="90"/>
      <c r="E40" s="1"/>
      <c r="F40" s="1"/>
      <c r="G40" s="1"/>
      <c r="H40" s="91"/>
      <c r="I40" s="1"/>
      <c r="M40" s="246"/>
      <c r="N40" s="246"/>
      <c r="O40" s="246"/>
    </row>
    <row r="41" spans="1:20" s="3" customFormat="1" ht="15" customHeight="1">
      <c r="A41" s="129" t="s">
        <v>0</v>
      </c>
      <c r="B41" s="88"/>
      <c r="C41" s="89"/>
      <c r="D41" s="90"/>
      <c r="E41" s="1"/>
      <c r="F41" s="1"/>
      <c r="G41" s="92"/>
      <c r="H41" s="91"/>
      <c r="M41" s="245" t="s">
        <v>194</v>
      </c>
      <c r="N41" s="245"/>
      <c r="O41" s="245"/>
    </row>
    <row r="42" spans="1:20" s="64" customFormat="1">
      <c r="A42" s="163"/>
      <c r="B42" s="94"/>
      <c r="C42" s="95"/>
      <c r="D42" s="96"/>
      <c r="E42" s="93"/>
      <c r="F42" s="93"/>
      <c r="G42" s="97"/>
      <c r="H42" s="98"/>
      <c r="M42" s="242" t="s">
        <v>196</v>
      </c>
      <c r="N42" s="242"/>
      <c r="O42" s="242"/>
      <c r="Q42" s="59"/>
      <c r="R42" s="59"/>
      <c r="S42" s="59"/>
      <c r="T42" s="59"/>
    </row>
    <row r="43" spans="1:20" s="64" customFormat="1">
      <c r="A43" s="163"/>
      <c r="B43" s="94"/>
      <c r="C43" s="95"/>
      <c r="D43" s="96"/>
      <c r="E43" s="93"/>
      <c r="F43" s="93"/>
      <c r="G43" s="97"/>
      <c r="H43" s="98"/>
      <c r="M43" s="242" t="s">
        <v>195</v>
      </c>
      <c r="N43" s="242"/>
      <c r="O43" s="242"/>
      <c r="Q43" s="59"/>
      <c r="R43" s="59"/>
      <c r="S43" s="59"/>
      <c r="T43" s="59"/>
    </row>
    <row r="44" spans="1:20" s="64" customFormat="1">
      <c r="A44" s="163"/>
      <c r="B44" s="94"/>
      <c r="C44" s="95"/>
      <c r="D44" s="96"/>
      <c r="E44" s="93"/>
      <c r="F44" s="93"/>
      <c r="G44" s="97"/>
      <c r="H44" s="98"/>
      <c r="M44" s="242"/>
      <c r="N44" s="242"/>
      <c r="O44" s="242"/>
      <c r="Q44" s="59"/>
      <c r="R44" s="59"/>
      <c r="S44" s="59"/>
      <c r="T44" s="59"/>
    </row>
    <row r="45" spans="1:20" s="64" customFormat="1">
      <c r="A45" s="163"/>
      <c r="B45" s="94"/>
      <c r="C45" s="95"/>
      <c r="D45" s="96"/>
      <c r="E45" s="93"/>
      <c r="F45" s="93"/>
      <c r="G45" s="97"/>
      <c r="H45" s="98"/>
      <c r="Q45" s="59"/>
      <c r="R45" s="59"/>
      <c r="S45" s="59"/>
      <c r="T45" s="59"/>
    </row>
  </sheetData>
  <mergeCells count="35">
    <mergeCell ref="M36:O36"/>
    <mergeCell ref="M44:O44"/>
    <mergeCell ref="M38:O38"/>
    <mergeCell ref="M39:O39"/>
    <mergeCell ref="M40:O40"/>
    <mergeCell ref="M41:O41"/>
    <mergeCell ref="M42:O42"/>
    <mergeCell ref="M43:O43"/>
    <mergeCell ref="M37:O37"/>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1.2" right="0.7" top="0.75" bottom="0.75" header="0.3" footer="0.3"/>
  <pageSetup paperSize="5" scale="70" orientation="landscape" horizontalDpi="4294967292" verticalDpi="4294967295" r:id="rId1"/>
  <rowBreaks count="1" manualBreakCount="1">
    <brk id="44" max="17" man="1"/>
  </rowBreaks>
</worksheet>
</file>

<file path=xl/worksheets/sheet2.xml><?xml version="1.0" encoding="utf-8"?>
<worksheet xmlns="http://schemas.openxmlformats.org/spreadsheetml/2006/main" xmlns:r="http://schemas.openxmlformats.org/officeDocument/2006/relationships">
  <dimension ref="A1:R131"/>
  <sheetViews>
    <sheetView showGridLines="0" view="pageBreakPreview" topLeftCell="B103" zoomScaleNormal="100" zoomScaleSheetLayoutView="100" workbookViewId="0">
      <selection activeCell="O133" sqref="O133"/>
    </sheetView>
  </sheetViews>
  <sheetFormatPr defaultColWidth="9.140625" defaultRowHeight="15"/>
  <cols>
    <col min="1" max="1" width="2.85546875" style="99" customWidth="1"/>
    <col min="2" max="3" width="2.85546875" style="100" customWidth="1"/>
    <col min="4" max="4" width="4.42578125" style="101" customWidth="1"/>
    <col min="5" max="5" width="3.7109375" style="99" customWidth="1"/>
    <col min="6" max="6" width="68.140625" style="99" customWidth="1"/>
    <col min="7" max="7" width="17.28515625" style="102" customWidth="1"/>
    <col min="8" max="8" width="8.28515625" style="63" customWidth="1"/>
    <col min="9" max="9" width="14" style="64" customWidth="1"/>
    <col min="10" max="10" width="7.7109375" style="64" customWidth="1"/>
    <col min="11" max="11" width="15" style="64" customWidth="1"/>
    <col min="12" max="12" width="8.140625" style="64" customWidth="1"/>
    <col min="13" max="13" width="14.28515625" style="64" customWidth="1"/>
    <col min="14" max="14" width="7.42578125" style="64" customWidth="1"/>
    <col min="15" max="15" width="7.85546875" style="64" customWidth="1"/>
    <col min="16" max="16" width="15.8554687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86</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60"/>
      <c r="B4" s="60"/>
      <c r="C4" s="60"/>
      <c r="D4" s="61"/>
      <c r="E4" s="60"/>
      <c r="F4" s="60"/>
      <c r="G4" s="62"/>
    </row>
    <row r="5" spans="1:17" ht="15" customHeight="1">
      <c r="A5" s="267" t="s">
        <v>113</v>
      </c>
      <c r="B5" s="257"/>
      <c r="C5" s="257"/>
      <c r="D5" s="257"/>
      <c r="E5" s="257"/>
      <c r="F5" s="65" t="s">
        <v>44</v>
      </c>
      <c r="G5" s="66"/>
      <c r="H5" s="66"/>
      <c r="I5" s="66"/>
      <c r="J5" s="66"/>
      <c r="K5" s="66"/>
      <c r="L5" s="66"/>
      <c r="M5" s="66"/>
      <c r="N5" s="66"/>
      <c r="O5" s="66"/>
      <c r="P5" s="66"/>
    </row>
    <row r="6" spans="1:17" ht="15" customHeight="1">
      <c r="A6" s="267" t="s">
        <v>112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183" t="s">
        <v>45</v>
      </c>
      <c r="G7" s="68"/>
      <c r="H7" s="69"/>
      <c r="I7" s="70"/>
      <c r="J7" s="70"/>
      <c r="K7" s="70"/>
      <c r="L7" s="70"/>
      <c r="M7" s="70"/>
      <c r="N7" s="70"/>
      <c r="O7" s="70"/>
      <c r="P7" s="70"/>
    </row>
    <row r="8" spans="1:17" ht="15" customHeight="1">
      <c r="A8" s="257" t="s">
        <v>40</v>
      </c>
      <c r="B8" s="257"/>
      <c r="C8" s="257"/>
      <c r="D8" s="257"/>
      <c r="E8" s="257"/>
      <c r="F8" s="183" t="s">
        <v>160</v>
      </c>
      <c r="G8" s="68"/>
      <c r="H8" s="69"/>
      <c r="I8" s="70"/>
      <c r="J8" s="70"/>
      <c r="K8" s="70"/>
      <c r="L8" s="70"/>
      <c r="M8" s="70"/>
      <c r="N8" s="70"/>
      <c r="O8" s="70"/>
      <c r="P8" s="70"/>
    </row>
    <row r="9" spans="1:17" ht="15" customHeight="1">
      <c r="A9" s="71"/>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135</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182" t="s">
        <v>30</v>
      </c>
      <c r="P12" s="252"/>
      <c r="Q12" s="74"/>
    </row>
    <row r="13" spans="1:17" ht="15" customHeight="1">
      <c r="A13" s="255"/>
      <c r="B13" s="255"/>
      <c r="C13" s="255"/>
      <c r="D13" s="255"/>
      <c r="E13" s="255"/>
      <c r="F13" s="263"/>
      <c r="G13" s="252"/>
      <c r="H13" s="256"/>
      <c r="I13" s="182" t="s">
        <v>29</v>
      </c>
      <c r="J13" s="182" t="s">
        <v>28</v>
      </c>
      <c r="K13" s="182" t="s">
        <v>29</v>
      </c>
      <c r="L13" s="182" t="s">
        <v>28</v>
      </c>
      <c r="M13" s="182" t="s">
        <v>29</v>
      </c>
      <c r="N13" s="182" t="s">
        <v>28</v>
      </c>
      <c r="O13" s="182" t="s">
        <v>28</v>
      </c>
      <c r="P13" s="252"/>
      <c r="Q13" s="74"/>
    </row>
    <row r="14" spans="1:17" s="75" customFormat="1" ht="15" customHeight="1">
      <c r="A14" s="247">
        <v>1</v>
      </c>
      <c r="B14" s="248"/>
      <c r="C14" s="248"/>
      <c r="D14" s="248"/>
      <c r="E14" s="249"/>
      <c r="F14" s="110">
        <v>2</v>
      </c>
      <c r="G14" s="111">
        <v>3</v>
      </c>
      <c r="H14" s="112">
        <v>4</v>
      </c>
      <c r="I14" s="113">
        <v>5</v>
      </c>
      <c r="J14" s="113">
        <v>6</v>
      </c>
      <c r="K14" s="113">
        <v>8</v>
      </c>
      <c r="L14" s="113">
        <v>9</v>
      </c>
      <c r="M14" s="113">
        <v>11</v>
      </c>
      <c r="N14" s="113">
        <v>12</v>
      </c>
      <c r="O14" s="113">
        <v>13</v>
      </c>
      <c r="P14" s="113">
        <v>14</v>
      </c>
    </row>
    <row r="15" spans="1:17" s="152" customFormat="1" ht="30" customHeight="1">
      <c r="A15" s="147"/>
      <c r="B15" s="148"/>
      <c r="C15" s="148"/>
      <c r="D15" s="148"/>
      <c r="E15" s="149"/>
      <c r="F15" s="140" t="s">
        <v>107</v>
      </c>
      <c r="G15" s="153">
        <f>G16</f>
        <v>8750419236</v>
      </c>
      <c r="H15" s="150"/>
      <c r="I15" s="151"/>
      <c r="J15" s="151"/>
      <c r="K15" s="151"/>
      <c r="L15" s="151"/>
      <c r="M15" s="151"/>
      <c r="N15" s="151"/>
      <c r="O15" s="151"/>
      <c r="P15" s="151"/>
    </row>
    <row r="16" spans="1:17" s="4" customFormat="1" ht="22.5" customHeight="1">
      <c r="A16" s="36">
        <v>2</v>
      </c>
      <c r="B16" s="36">
        <v>8</v>
      </c>
      <c r="C16" s="36">
        <v>1</v>
      </c>
      <c r="D16" s="37"/>
      <c r="E16" s="36"/>
      <c r="F16" s="38" t="s">
        <v>93</v>
      </c>
      <c r="G16" s="39">
        <f>G17+G25+G29+G33+G41+G45+G50</f>
        <v>8750419236</v>
      </c>
      <c r="H16" s="40">
        <f t="shared" ref="H16:H41" si="0">+G16/$G$119*100%</f>
        <v>0.61068013621642725</v>
      </c>
      <c r="I16" s="39">
        <f>Januari!M16</f>
        <v>302831800</v>
      </c>
      <c r="J16" s="42">
        <f>Januari!N16</f>
        <v>3.4607690424033986</v>
      </c>
      <c r="K16" s="39">
        <f>K17+K25+K29+K33+K45+K50</f>
        <v>313887932</v>
      </c>
      <c r="L16" s="43">
        <f t="shared" ref="L16:L29" si="1">K16/G16*100</f>
        <v>3.5871187829337048</v>
      </c>
      <c r="M16" s="39">
        <f t="shared" ref="M16:M29" si="2">I16+K16</f>
        <v>616719732</v>
      </c>
      <c r="N16" s="43">
        <f t="shared" ref="N16:N29" si="3">M16/G16*100</f>
        <v>7.0478878253371038</v>
      </c>
      <c r="O16" s="44"/>
      <c r="P16" s="39">
        <f t="shared" ref="P16:P29" si="4">G16-M16</f>
        <v>8133699504</v>
      </c>
    </row>
    <row r="17" spans="1:18" s="106" customFormat="1" ht="22.5" customHeight="1">
      <c r="A17" s="5">
        <v>2</v>
      </c>
      <c r="B17" s="5">
        <v>8</v>
      </c>
      <c r="C17" s="5">
        <v>1</v>
      </c>
      <c r="D17" s="6" t="s">
        <v>8</v>
      </c>
      <c r="E17" s="5"/>
      <c r="F17" s="7" t="s">
        <v>27</v>
      </c>
      <c r="G17" s="45">
        <f>SUM(G18:G24)</f>
        <v>41406100</v>
      </c>
      <c r="H17" s="9">
        <f t="shared" si="0"/>
        <v>2.8896767236205835E-3</v>
      </c>
      <c r="I17" s="8">
        <f>Januari!M17</f>
        <v>0</v>
      </c>
      <c r="J17" s="11">
        <f>Januari!N17</f>
        <v>0</v>
      </c>
      <c r="K17" s="45">
        <f>SUM(K18:K24)</f>
        <v>0</v>
      </c>
      <c r="L17" s="12">
        <f t="shared" si="1"/>
        <v>0</v>
      </c>
      <c r="M17" s="8">
        <f t="shared" si="2"/>
        <v>0</v>
      </c>
      <c r="N17" s="12">
        <f t="shared" si="3"/>
        <v>0</v>
      </c>
      <c r="O17" s="13"/>
      <c r="P17" s="8">
        <f t="shared" si="4"/>
        <v>41406100</v>
      </c>
      <c r="R17" s="107"/>
    </row>
    <row r="18" spans="1:18" s="3" customFormat="1" ht="22.5" customHeight="1">
      <c r="A18" s="14">
        <v>2</v>
      </c>
      <c r="B18" s="14">
        <v>8</v>
      </c>
      <c r="C18" s="14">
        <v>1</v>
      </c>
      <c r="D18" s="15" t="s">
        <v>8</v>
      </c>
      <c r="E18" s="14">
        <v>1</v>
      </c>
      <c r="F18" s="16" t="s">
        <v>49</v>
      </c>
      <c r="G18" s="17">
        <v>7249700</v>
      </c>
      <c r="H18" s="18">
        <f t="shared" si="0"/>
        <v>5.0594693398393334E-4</v>
      </c>
      <c r="I18" s="21">
        <f>Januari!M18</f>
        <v>0</v>
      </c>
      <c r="J18" s="190">
        <f>Januari!N18</f>
        <v>0</v>
      </c>
      <c r="K18" s="21">
        <v>0</v>
      </c>
      <c r="L18" s="20">
        <f t="shared" si="1"/>
        <v>0</v>
      </c>
      <c r="M18" s="30">
        <f t="shared" si="2"/>
        <v>0</v>
      </c>
      <c r="N18" s="29">
        <f t="shared" si="3"/>
        <v>0</v>
      </c>
      <c r="O18" s="22"/>
      <c r="P18" s="21">
        <f t="shared" si="4"/>
        <v>7249700</v>
      </c>
      <c r="R18" s="76"/>
    </row>
    <row r="19" spans="1:18" s="3" customFormat="1" ht="22.5" customHeight="1">
      <c r="A19" s="14">
        <v>2</v>
      </c>
      <c r="B19" s="14">
        <v>8</v>
      </c>
      <c r="C19" s="14">
        <v>1</v>
      </c>
      <c r="D19" s="15" t="s">
        <v>8</v>
      </c>
      <c r="E19" s="14">
        <v>2</v>
      </c>
      <c r="F19" s="16" t="s">
        <v>50</v>
      </c>
      <c r="G19" s="17">
        <v>6750400</v>
      </c>
      <c r="H19" s="18">
        <f t="shared" si="0"/>
        <v>4.7110145015175027E-4</v>
      </c>
      <c r="I19" s="21">
        <f>Januari!M19</f>
        <v>0</v>
      </c>
      <c r="J19" s="190">
        <f>Januari!N19</f>
        <v>0</v>
      </c>
      <c r="K19" s="21">
        <v>0</v>
      </c>
      <c r="L19" s="20">
        <f t="shared" si="1"/>
        <v>0</v>
      </c>
      <c r="M19" s="30">
        <f t="shared" si="2"/>
        <v>0</v>
      </c>
      <c r="N19" s="29">
        <f t="shared" si="3"/>
        <v>0</v>
      </c>
      <c r="O19" s="22"/>
      <c r="P19" s="21">
        <f t="shared" si="4"/>
        <v>6750400</v>
      </c>
      <c r="R19" s="76"/>
    </row>
    <row r="20" spans="1:18" s="3" customFormat="1" ht="22.5" customHeight="1">
      <c r="A20" s="14">
        <v>2</v>
      </c>
      <c r="B20" s="14">
        <v>8</v>
      </c>
      <c r="C20" s="14">
        <v>1</v>
      </c>
      <c r="D20" s="15" t="s">
        <v>8</v>
      </c>
      <c r="E20" s="14">
        <v>3</v>
      </c>
      <c r="F20" s="16" t="s">
        <v>51</v>
      </c>
      <c r="G20" s="17">
        <v>8800000</v>
      </c>
      <c r="H20" s="18">
        <f t="shared" si="0"/>
        <v>6.1414031188305909E-4</v>
      </c>
      <c r="I20" s="21">
        <f>Januari!M20</f>
        <v>0</v>
      </c>
      <c r="J20" s="190">
        <f>Januari!N20</f>
        <v>0</v>
      </c>
      <c r="K20" s="21">
        <v>0</v>
      </c>
      <c r="L20" s="20">
        <f t="shared" si="1"/>
        <v>0</v>
      </c>
      <c r="M20" s="30">
        <f t="shared" si="2"/>
        <v>0</v>
      </c>
      <c r="N20" s="29">
        <f t="shared" si="3"/>
        <v>0</v>
      </c>
      <c r="O20" s="22"/>
      <c r="P20" s="21">
        <f t="shared" si="4"/>
        <v>8800000</v>
      </c>
      <c r="R20" s="76"/>
    </row>
    <row r="21" spans="1:18" s="3" customFormat="1" ht="22.5" customHeight="1">
      <c r="A21" s="14">
        <v>2</v>
      </c>
      <c r="B21" s="14">
        <v>8</v>
      </c>
      <c r="C21" s="14">
        <v>1</v>
      </c>
      <c r="D21" s="15" t="s">
        <v>8</v>
      </c>
      <c r="E21" s="14">
        <v>4</v>
      </c>
      <c r="F21" s="16" t="s">
        <v>52</v>
      </c>
      <c r="G21" s="17">
        <v>2545000</v>
      </c>
      <c r="H21" s="18">
        <f t="shared" si="0"/>
        <v>1.7761216974345289E-4</v>
      </c>
      <c r="I21" s="21">
        <f>Januari!M21</f>
        <v>0</v>
      </c>
      <c r="J21" s="190">
        <f>Januari!N21</f>
        <v>0</v>
      </c>
      <c r="K21" s="21">
        <v>0</v>
      </c>
      <c r="L21" s="20">
        <f t="shared" si="1"/>
        <v>0</v>
      </c>
      <c r="M21" s="30">
        <f t="shared" si="2"/>
        <v>0</v>
      </c>
      <c r="N21" s="29">
        <f t="shared" si="3"/>
        <v>0</v>
      </c>
      <c r="O21" s="22"/>
      <c r="P21" s="21">
        <f t="shared" si="4"/>
        <v>2545000</v>
      </c>
      <c r="R21" s="76"/>
    </row>
    <row r="22" spans="1:18" s="3" customFormat="1" ht="22.5" customHeight="1">
      <c r="A22" s="14">
        <v>2</v>
      </c>
      <c r="B22" s="14">
        <v>8</v>
      </c>
      <c r="C22" s="14">
        <v>1</v>
      </c>
      <c r="D22" s="15" t="s">
        <v>8</v>
      </c>
      <c r="E22" s="14">
        <v>5</v>
      </c>
      <c r="F22" s="16" t="s">
        <v>53</v>
      </c>
      <c r="G22" s="17">
        <v>2675000</v>
      </c>
      <c r="H22" s="18">
        <f t="shared" si="0"/>
        <v>1.8668469707808899E-4</v>
      </c>
      <c r="I22" s="21">
        <f>Januari!M22</f>
        <v>0</v>
      </c>
      <c r="J22" s="190">
        <f>Januari!N22</f>
        <v>0</v>
      </c>
      <c r="K22" s="21">
        <v>0</v>
      </c>
      <c r="L22" s="20">
        <f t="shared" si="1"/>
        <v>0</v>
      </c>
      <c r="M22" s="30">
        <f t="shared" si="2"/>
        <v>0</v>
      </c>
      <c r="N22" s="29">
        <f t="shared" si="3"/>
        <v>0</v>
      </c>
      <c r="O22" s="22"/>
      <c r="P22" s="21">
        <f t="shared" si="4"/>
        <v>2675000</v>
      </c>
      <c r="R22" s="76"/>
    </row>
    <row r="23" spans="1:18" s="3" customFormat="1" ht="31.5" customHeight="1">
      <c r="A23" s="14">
        <v>2</v>
      </c>
      <c r="B23" s="14">
        <v>8</v>
      </c>
      <c r="C23" s="14">
        <v>1</v>
      </c>
      <c r="D23" s="15" t="s">
        <v>8</v>
      </c>
      <c r="E23" s="14">
        <v>6</v>
      </c>
      <c r="F23" s="16" t="s">
        <v>54</v>
      </c>
      <c r="G23" s="17">
        <v>6851000</v>
      </c>
      <c r="H23" s="18">
        <f t="shared" si="0"/>
        <v>4.7812219053532248E-4</v>
      </c>
      <c r="I23" s="21">
        <f>Januari!M23</f>
        <v>0</v>
      </c>
      <c r="J23" s="190">
        <f>Januari!N23</f>
        <v>0</v>
      </c>
      <c r="K23" s="21">
        <v>0</v>
      </c>
      <c r="L23" s="20">
        <f t="shared" si="1"/>
        <v>0</v>
      </c>
      <c r="M23" s="30">
        <f t="shared" si="2"/>
        <v>0</v>
      </c>
      <c r="N23" s="29">
        <f t="shared" si="3"/>
        <v>0</v>
      </c>
      <c r="O23" s="22"/>
      <c r="P23" s="21">
        <f t="shared" si="4"/>
        <v>6851000</v>
      </c>
      <c r="R23" s="76"/>
    </row>
    <row r="24" spans="1:18" s="3" customFormat="1" ht="22.5" customHeight="1">
      <c r="A24" s="14">
        <v>2</v>
      </c>
      <c r="B24" s="14">
        <v>8</v>
      </c>
      <c r="C24" s="14">
        <v>1</v>
      </c>
      <c r="D24" s="15" t="s">
        <v>8</v>
      </c>
      <c r="E24" s="14">
        <v>7</v>
      </c>
      <c r="F24" s="16" t="s">
        <v>55</v>
      </c>
      <c r="G24" s="17">
        <v>6535000</v>
      </c>
      <c r="H24" s="18">
        <f t="shared" si="0"/>
        <v>4.5606897024497628E-4</v>
      </c>
      <c r="I24" s="21">
        <f>Januari!M24</f>
        <v>0</v>
      </c>
      <c r="J24" s="190">
        <f>Januari!N24</f>
        <v>0</v>
      </c>
      <c r="K24" s="21">
        <v>0</v>
      </c>
      <c r="L24" s="20">
        <f t="shared" si="1"/>
        <v>0</v>
      </c>
      <c r="M24" s="30">
        <f t="shared" si="2"/>
        <v>0</v>
      </c>
      <c r="N24" s="29">
        <f t="shared" si="3"/>
        <v>0</v>
      </c>
      <c r="O24" s="22"/>
      <c r="P24" s="21">
        <f t="shared" si="4"/>
        <v>6535000</v>
      </c>
      <c r="R24" s="76"/>
    </row>
    <row r="25" spans="1:18" s="106" customFormat="1" ht="22.5" customHeight="1">
      <c r="A25" s="5">
        <v>2</v>
      </c>
      <c r="B25" s="5">
        <v>8</v>
      </c>
      <c r="C25" s="5">
        <v>1</v>
      </c>
      <c r="D25" s="6" t="s">
        <v>7</v>
      </c>
      <c r="E25" s="5"/>
      <c r="F25" s="7" t="s">
        <v>26</v>
      </c>
      <c r="G25" s="45">
        <f>SUM(G26:G28)</f>
        <v>6571412909</v>
      </c>
      <c r="H25" s="9">
        <f t="shared" si="0"/>
        <v>0.4586101788006387</v>
      </c>
      <c r="I25" s="8">
        <f>Januari!M25</f>
        <v>276696800</v>
      </c>
      <c r="J25" s="11">
        <f>Januari!N25</f>
        <v>4.2106135138920395</v>
      </c>
      <c r="K25" s="45">
        <f>SUM(K26:K28)</f>
        <v>275733129</v>
      </c>
      <c r="L25" s="12">
        <f t="shared" si="1"/>
        <v>4.1959489202446036</v>
      </c>
      <c r="M25" s="8">
        <f t="shared" si="2"/>
        <v>552429929</v>
      </c>
      <c r="N25" s="12">
        <f t="shared" si="3"/>
        <v>8.4065624341366423</v>
      </c>
      <c r="O25" s="13"/>
      <c r="P25" s="8">
        <f t="shared" si="4"/>
        <v>6018982980</v>
      </c>
    </row>
    <row r="26" spans="1:18" s="3" customFormat="1" ht="22.5" customHeight="1">
      <c r="A26" s="14">
        <v>2</v>
      </c>
      <c r="B26" s="14">
        <v>8</v>
      </c>
      <c r="C26" s="14">
        <v>1</v>
      </c>
      <c r="D26" s="15" t="s">
        <v>7</v>
      </c>
      <c r="E26" s="14">
        <v>1</v>
      </c>
      <c r="F26" s="16" t="s">
        <v>56</v>
      </c>
      <c r="G26" s="17">
        <v>6507764909</v>
      </c>
      <c r="H26" s="18">
        <f t="shared" si="0"/>
        <v>0.45416826941760091</v>
      </c>
      <c r="I26" s="21">
        <f>Januari!M26</f>
        <v>276696800</v>
      </c>
      <c r="J26" s="190">
        <f>Januari!N26</f>
        <v>4.2517946463821783</v>
      </c>
      <c r="K26" s="21">
        <f>271561112+4172017</f>
        <v>275733129</v>
      </c>
      <c r="L26" s="20">
        <f t="shared" si="1"/>
        <v>4.2369866283686921</v>
      </c>
      <c r="M26" s="21">
        <f t="shared" si="2"/>
        <v>552429929</v>
      </c>
      <c r="N26" s="20">
        <f t="shared" si="3"/>
        <v>8.4887812747508704</v>
      </c>
      <c r="O26" s="22"/>
      <c r="P26" s="21">
        <f t="shared" si="4"/>
        <v>5955334980</v>
      </c>
    </row>
    <row r="27" spans="1:18" s="3" customFormat="1" ht="22.5" customHeight="1">
      <c r="A27" s="14">
        <v>2</v>
      </c>
      <c r="B27" s="14">
        <v>8</v>
      </c>
      <c r="C27" s="14">
        <v>1</v>
      </c>
      <c r="D27" s="15" t="s">
        <v>7</v>
      </c>
      <c r="E27" s="14">
        <v>2</v>
      </c>
      <c r="F27" s="16" t="s">
        <v>57</v>
      </c>
      <c r="G27" s="17">
        <v>57247000</v>
      </c>
      <c r="H27" s="18">
        <f t="shared" si="0"/>
        <v>3.9951920948147141E-3</v>
      </c>
      <c r="I27" s="21">
        <f>Januari!M27</f>
        <v>0</v>
      </c>
      <c r="J27" s="190">
        <f>Januari!N27</f>
        <v>0</v>
      </c>
      <c r="K27" s="21">
        <v>0</v>
      </c>
      <c r="L27" s="20">
        <f t="shared" si="1"/>
        <v>0</v>
      </c>
      <c r="M27" s="30">
        <f t="shared" si="2"/>
        <v>0</v>
      </c>
      <c r="N27" s="29">
        <f t="shared" si="3"/>
        <v>0</v>
      </c>
      <c r="O27" s="22"/>
      <c r="P27" s="21">
        <f t="shared" si="4"/>
        <v>57247000</v>
      </c>
    </row>
    <row r="28" spans="1:18" s="3" customFormat="1" ht="22.5" customHeight="1">
      <c r="A28" s="14">
        <v>2</v>
      </c>
      <c r="B28" s="14">
        <v>8</v>
      </c>
      <c r="C28" s="14">
        <v>1</v>
      </c>
      <c r="D28" s="15" t="s">
        <v>7</v>
      </c>
      <c r="E28" s="14">
        <v>5</v>
      </c>
      <c r="F28" s="16" t="s">
        <v>58</v>
      </c>
      <c r="G28" s="17">
        <v>6401000</v>
      </c>
      <c r="H28" s="18">
        <f t="shared" si="0"/>
        <v>4.4671728822312062E-4</v>
      </c>
      <c r="I28" s="21">
        <f>Januari!M28</f>
        <v>0</v>
      </c>
      <c r="J28" s="190">
        <f>Januari!N28</f>
        <v>0</v>
      </c>
      <c r="K28" s="21">
        <v>0</v>
      </c>
      <c r="L28" s="20">
        <f t="shared" si="1"/>
        <v>0</v>
      </c>
      <c r="M28" s="30">
        <f t="shared" si="2"/>
        <v>0</v>
      </c>
      <c r="N28" s="29">
        <f t="shared" si="3"/>
        <v>0</v>
      </c>
      <c r="O28" s="22"/>
      <c r="P28" s="21">
        <f t="shared" si="4"/>
        <v>6401000</v>
      </c>
    </row>
    <row r="29" spans="1:18" s="35" customFormat="1" ht="22.5" customHeight="1">
      <c r="A29" s="5">
        <v>2</v>
      </c>
      <c r="B29" s="5">
        <v>8</v>
      </c>
      <c r="C29" s="5">
        <v>1</v>
      </c>
      <c r="D29" s="6" t="s">
        <v>14</v>
      </c>
      <c r="E29" s="5"/>
      <c r="F29" s="7" t="s">
        <v>25</v>
      </c>
      <c r="G29" s="45">
        <f>SUM(G30:G32)</f>
        <v>13830000</v>
      </c>
      <c r="H29" s="9">
        <f t="shared" si="0"/>
        <v>9.6517733106167135E-4</v>
      </c>
      <c r="I29" s="8">
        <f>Januari!M29</f>
        <v>0</v>
      </c>
      <c r="J29" s="11">
        <f>Januari!N29</f>
        <v>0</v>
      </c>
      <c r="K29" s="45">
        <f>K32</f>
        <v>0</v>
      </c>
      <c r="L29" s="108">
        <f t="shared" si="1"/>
        <v>0</v>
      </c>
      <c r="M29" s="8">
        <f t="shared" si="2"/>
        <v>0</v>
      </c>
      <c r="N29" s="12">
        <f t="shared" si="3"/>
        <v>0</v>
      </c>
      <c r="O29" s="13"/>
      <c r="P29" s="8">
        <f t="shared" si="4"/>
        <v>13830000</v>
      </c>
    </row>
    <row r="30" spans="1:18" s="35" customFormat="1" ht="22.5" customHeight="1">
      <c r="A30" s="14">
        <v>2</v>
      </c>
      <c r="B30" s="14">
        <v>8</v>
      </c>
      <c r="C30" s="14">
        <v>1</v>
      </c>
      <c r="D30" s="15" t="s">
        <v>14</v>
      </c>
      <c r="E30" s="14">
        <v>1</v>
      </c>
      <c r="F30" s="166" t="s">
        <v>114</v>
      </c>
      <c r="G30" s="17">
        <v>1045000</v>
      </c>
      <c r="H30" s="18">
        <f t="shared" si="0"/>
        <v>7.2929162036113266E-5</v>
      </c>
      <c r="I30" s="21">
        <f>Januari!M30</f>
        <v>0</v>
      </c>
      <c r="J30" s="190">
        <f>Januari!N30</f>
        <v>0</v>
      </c>
      <c r="K30" s="164"/>
      <c r="L30" s="20"/>
      <c r="M30" s="30"/>
      <c r="N30" s="29"/>
      <c r="O30" s="165"/>
      <c r="P30" s="30"/>
    </row>
    <row r="31" spans="1:18" s="35" customFormat="1" ht="22.5" customHeight="1">
      <c r="A31" s="14">
        <v>2</v>
      </c>
      <c r="B31" s="14">
        <v>8</v>
      </c>
      <c r="C31" s="14">
        <v>1</v>
      </c>
      <c r="D31" s="15" t="s">
        <v>14</v>
      </c>
      <c r="E31" s="14">
        <v>5</v>
      </c>
      <c r="F31" s="166" t="s">
        <v>115</v>
      </c>
      <c r="G31" s="17">
        <v>1100000</v>
      </c>
      <c r="H31" s="18">
        <f t="shared" si="0"/>
        <v>7.6767538985382386E-5</v>
      </c>
      <c r="I31" s="21">
        <f>Januari!M31</f>
        <v>0</v>
      </c>
      <c r="J31" s="190">
        <f>Januari!N31</f>
        <v>0</v>
      </c>
      <c r="K31" s="164"/>
      <c r="L31" s="20"/>
      <c r="M31" s="30"/>
      <c r="N31" s="29"/>
      <c r="O31" s="165"/>
      <c r="P31" s="30"/>
    </row>
    <row r="32" spans="1:18" s="3" customFormat="1" ht="22.5" customHeight="1">
      <c r="A32" s="14">
        <v>2</v>
      </c>
      <c r="B32" s="14">
        <v>8</v>
      </c>
      <c r="C32" s="14">
        <v>1</v>
      </c>
      <c r="D32" s="15" t="s">
        <v>14</v>
      </c>
      <c r="E32" s="14">
        <v>6</v>
      </c>
      <c r="F32" s="16" t="s">
        <v>59</v>
      </c>
      <c r="G32" s="17">
        <v>11685000</v>
      </c>
      <c r="H32" s="18">
        <f t="shared" si="0"/>
        <v>8.1548063004017568E-4</v>
      </c>
      <c r="I32" s="21">
        <f>Januari!M32</f>
        <v>0</v>
      </c>
      <c r="J32" s="190">
        <f>Januari!N32</f>
        <v>0</v>
      </c>
      <c r="K32" s="21">
        <v>0</v>
      </c>
      <c r="L32" s="20">
        <f t="shared" ref="L32:L37" si="5">K32/G32*100</f>
        <v>0</v>
      </c>
      <c r="M32" s="30">
        <f t="shared" ref="M32:M37" si="6">I32+K32</f>
        <v>0</v>
      </c>
      <c r="N32" s="29">
        <f t="shared" ref="N32:N37" si="7">M32/G32*100</f>
        <v>0</v>
      </c>
      <c r="O32" s="22"/>
      <c r="P32" s="21">
        <f t="shared" ref="P32:P37" si="8">G32-M32</f>
        <v>11685000</v>
      </c>
    </row>
    <row r="33" spans="1:16" s="106" customFormat="1" ht="22.5" customHeight="1">
      <c r="A33" s="5">
        <v>2</v>
      </c>
      <c r="B33" s="5">
        <v>8</v>
      </c>
      <c r="C33" s="5">
        <v>1</v>
      </c>
      <c r="D33" s="6" t="s">
        <v>24</v>
      </c>
      <c r="E33" s="5"/>
      <c r="F33" s="7" t="s">
        <v>4</v>
      </c>
      <c r="G33" s="45">
        <f>SUM(G34:G40)</f>
        <v>861641250</v>
      </c>
      <c r="H33" s="9">
        <f t="shared" si="0"/>
        <v>6.0132798409807828E-2</v>
      </c>
      <c r="I33" s="8">
        <f>Januari!M33</f>
        <v>0</v>
      </c>
      <c r="J33" s="11">
        <f>Januari!N33</f>
        <v>0</v>
      </c>
      <c r="K33" s="45">
        <f>SUM(K34:K39)</f>
        <v>12154803</v>
      </c>
      <c r="L33" s="108">
        <f t="shared" si="5"/>
        <v>1.4106570454931215</v>
      </c>
      <c r="M33" s="8">
        <f t="shared" si="6"/>
        <v>12154803</v>
      </c>
      <c r="N33" s="12">
        <f t="shared" si="7"/>
        <v>1.4106570454931215</v>
      </c>
      <c r="O33" s="13"/>
      <c r="P33" s="8">
        <f t="shared" si="8"/>
        <v>849486447</v>
      </c>
    </row>
    <row r="34" spans="1:16" s="3" customFormat="1" ht="22.5" customHeight="1">
      <c r="A34" s="14">
        <v>2</v>
      </c>
      <c r="B34" s="14">
        <v>8</v>
      </c>
      <c r="C34" s="14">
        <v>1</v>
      </c>
      <c r="D34" s="15" t="s">
        <v>24</v>
      </c>
      <c r="E34" s="14">
        <v>1</v>
      </c>
      <c r="F34" s="16" t="s">
        <v>60</v>
      </c>
      <c r="G34" s="17">
        <v>7066000</v>
      </c>
      <c r="H34" s="18">
        <f t="shared" si="0"/>
        <v>4.9312675497337449E-4</v>
      </c>
      <c r="I34" s="21">
        <f>Januari!M34</f>
        <v>0</v>
      </c>
      <c r="J34" s="190">
        <f>Januari!N34</f>
        <v>0</v>
      </c>
      <c r="K34" s="21">
        <v>0</v>
      </c>
      <c r="L34" s="20">
        <f t="shared" si="5"/>
        <v>0</v>
      </c>
      <c r="M34" s="30">
        <f t="shared" si="6"/>
        <v>0</v>
      </c>
      <c r="N34" s="29">
        <f t="shared" si="7"/>
        <v>0</v>
      </c>
      <c r="O34" s="22"/>
      <c r="P34" s="21">
        <f t="shared" si="8"/>
        <v>7066000</v>
      </c>
    </row>
    <row r="35" spans="1:16" s="3" customFormat="1" ht="22.5" customHeight="1">
      <c r="A35" s="14">
        <v>2</v>
      </c>
      <c r="B35" s="14">
        <v>8</v>
      </c>
      <c r="C35" s="14">
        <v>1</v>
      </c>
      <c r="D35" s="15" t="s">
        <v>24</v>
      </c>
      <c r="E35" s="14">
        <v>2</v>
      </c>
      <c r="F35" s="16" t="s">
        <v>61</v>
      </c>
      <c r="G35" s="17">
        <v>60937700</v>
      </c>
      <c r="H35" s="18">
        <f t="shared" si="0"/>
        <v>4.252761145845033E-3</v>
      </c>
      <c r="I35" s="21">
        <f>Januari!M35</f>
        <v>0</v>
      </c>
      <c r="J35" s="190">
        <f>Januari!N35</f>
        <v>0</v>
      </c>
      <c r="K35" s="21">
        <v>0</v>
      </c>
      <c r="L35" s="20">
        <f t="shared" si="5"/>
        <v>0</v>
      </c>
      <c r="M35" s="30">
        <f t="shared" si="6"/>
        <v>0</v>
      </c>
      <c r="N35" s="29">
        <f t="shared" si="7"/>
        <v>0</v>
      </c>
      <c r="O35" s="22"/>
      <c r="P35" s="21">
        <f t="shared" si="8"/>
        <v>60937700</v>
      </c>
    </row>
    <row r="36" spans="1:16" s="3" customFormat="1" ht="22.5" customHeight="1">
      <c r="A36" s="14">
        <v>2</v>
      </c>
      <c r="B36" s="14">
        <v>8</v>
      </c>
      <c r="C36" s="14">
        <v>1</v>
      </c>
      <c r="D36" s="15" t="s">
        <v>24</v>
      </c>
      <c r="E36" s="14">
        <v>5</v>
      </c>
      <c r="F36" s="16" t="s">
        <v>62</v>
      </c>
      <c r="G36" s="17">
        <v>15300000</v>
      </c>
      <c r="H36" s="18">
        <f t="shared" si="0"/>
        <v>1.0677666786148641E-3</v>
      </c>
      <c r="I36" s="21">
        <f>Januari!M36</f>
        <v>0</v>
      </c>
      <c r="J36" s="190">
        <f>Januari!N36</f>
        <v>0</v>
      </c>
      <c r="K36" s="21">
        <v>0</v>
      </c>
      <c r="L36" s="20">
        <f t="shared" si="5"/>
        <v>0</v>
      </c>
      <c r="M36" s="30">
        <f t="shared" si="6"/>
        <v>0</v>
      </c>
      <c r="N36" s="29">
        <f t="shared" si="7"/>
        <v>0</v>
      </c>
      <c r="O36" s="22"/>
      <c r="P36" s="21">
        <f t="shared" si="8"/>
        <v>15300000</v>
      </c>
    </row>
    <row r="37" spans="1:16" s="3" customFormat="1" ht="22.5" customHeight="1">
      <c r="A37" s="14">
        <v>2</v>
      </c>
      <c r="B37" s="14">
        <v>8</v>
      </c>
      <c r="C37" s="14">
        <v>1</v>
      </c>
      <c r="D37" s="15" t="s">
        <v>24</v>
      </c>
      <c r="E37" s="14">
        <v>6</v>
      </c>
      <c r="F37" s="16" t="s">
        <v>63</v>
      </c>
      <c r="G37" s="17">
        <v>12600000</v>
      </c>
      <c r="H37" s="18">
        <f t="shared" si="0"/>
        <v>8.7933726474165286E-4</v>
      </c>
      <c r="I37" s="21">
        <f>Januari!M37</f>
        <v>0</v>
      </c>
      <c r="J37" s="190">
        <f>Januari!N37</f>
        <v>0</v>
      </c>
      <c r="K37" s="21">
        <v>0</v>
      </c>
      <c r="L37" s="20">
        <f t="shared" si="5"/>
        <v>0</v>
      </c>
      <c r="M37" s="30">
        <f t="shared" si="6"/>
        <v>0</v>
      </c>
      <c r="N37" s="29">
        <f t="shared" si="7"/>
        <v>0</v>
      </c>
      <c r="O37" s="22"/>
      <c r="P37" s="21">
        <f t="shared" si="8"/>
        <v>12600000</v>
      </c>
    </row>
    <row r="38" spans="1:16" s="3" customFormat="1" ht="22.5" customHeight="1">
      <c r="A38" s="14">
        <v>2</v>
      </c>
      <c r="B38" s="14">
        <v>8</v>
      </c>
      <c r="C38" s="14">
        <v>1</v>
      </c>
      <c r="D38" s="15" t="s">
        <v>24</v>
      </c>
      <c r="E38" s="14">
        <v>8</v>
      </c>
      <c r="F38" s="166" t="s">
        <v>120</v>
      </c>
      <c r="G38" s="17">
        <v>8000000</v>
      </c>
      <c r="H38" s="18">
        <f t="shared" si="0"/>
        <v>5.5830937443914462E-4</v>
      </c>
      <c r="I38" s="21">
        <f>Januari!M38</f>
        <v>0</v>
      </c>
      <c r="J38" s="190">
        <f>Januari!N38</f>
        <v>0</v>
      </c>
      <c r="K38" s="21"/>
      <c r="L38" s="20"/>
      <c r="M38" s="30"/>
      <c r="N38" s="29"/>
      <c r="O38" s="22"/>
      <c r="P38" s="21"/>
    </row>
    <row r="39" spans="1:16" s="3" customFormat="1" ht="22.5" customHeight="1">
      <c r="A39" s="14">
        <v>2</v>
      </c>
      <c r="B39" s="14">
        <v>8</v>
      </c>
      <c r="C39" s="14">
        <v>1</v>
      </c>
      <c r="D39" s="15" t="s">
        <v>24</v>
      </c>
      <c r="E39" s="14">
        <v>9</v>
      </c>
      <c r="F39" s="16" t="s">
        <v>64</v>
      </c>
      <c r="G39" s="17">
        <v>754225900</v>
      </c>
      <c r="H39" s="18">
        <f t="shared" si="0"/>
        <v>5.2636423801850109E-2</v>
      </c>
      <c r="I39" s="21">
        <f>Januari!M39</f>
        <v>0</v>
      </c>
      <c r="J39" s="190">
        <f>Januari!N39</f>
        <v>0</v>
      </c>
      <c r="K39" s="21">
        <f>12154803</f>
        <v>12154803</v>
      </c>
      <c r="L39" s="20">
        <f>K39/G39*100</f>
        <v>1.611560011397116</v>
      </c>
      <c r="M39" s="21">
        <f>I39+K39</f>
        <v>12154803</v>
      </c>
      <c r="N39" s="20">
        <f>M39/G39*100</f>
        <v>1.611560011397116</v>
      </c>
      <c r="O39" s="22"/>
      <c r="P39" s="21">
        <f>G39-M39</f>
        <v>742071097</v>
      </c>
    </row>
    <row r="40" spans="1:16" s="3" customFormat="1" ht="22.5" customHeight="1">
      <c r="A40" s="14">
        <v>2</v>
      </c>
      <c r="B40" s="14">
        <v>8</v>
      </c>
      <c r="C40" s="14">
        <v>1</v>
      </c>
      <c r="D40" s="15" t="s">
        <v>24</v>
      </c>
      <c r="E40" s="14">
        <v>10</v>
      </c>
      <c r="F40" s="166" t="s">
        <v>118</v>
      </c>
      <c r="G40" s="17">
        <v>3511650</v>
      </c>
      <c r="H40" s="18">
        <f t="shared" si="0"/>
        <v>2.4507338934365281E-4</v>
      </c>
      <c r="I40" s="21">
        <f>Januari!M40</f>
        <v>0</v>
      </c>
      <c r="J40" s="190">
        <f>Januari!N40</f>
        <v>0</v>
      </c>
      <c r="K40" s="21"/>
      <c r="L40" s="20"/>
      <c r="M40" s="30"/>
      <c r="N40" s="29"/>
      <c r="O40" s="22"/>
      <c r="P40" s="21"/>
    </row>
    <row r="41" spans="1:16" s="3" customFormat="1" ht="22.5" customHeight="1">
      <c r="A41" s="5">
        <v>2</v>
      </c>
      <c r="B41" s="5">
        <v>8</v>
      </c>
      <c r="C41" s="5">
        <v>1</v>
      </c>
      <c r="D41" s="6" t="s">
        <v>116</v>
      </c>
      <c r="E41" s="5"/>
      <c r="F41" s="167" t="s">
        <v>117</v>
      </c>
      <c r="G41" s="45">
        <f>SUM(G42:G44)</f>
        <v>436053900</v>
      </c>
      <c r="H41" s="9">
        <f t="shared" si="0"/>
        <v>3.0431622516343668E-2</v>
      </c>
      <c r="I41" s="8">
        <f>Januari!M41</f>
        <v>0</v>
      </c>
      <c r="J41" s="11">
        <f>Januari!N41</f>
        <v>0</v>
      </c>
      <c r="K41" s="45"/>
      <c r="L41" s="12">
        <f>K41/G41*100</f>
        <v>0</v>
      </c>
      <c r="M41" s="8">
        <f>I41+K41</f>
        <v>0</v>
      </c>
      <c r="N41" s="12">
        <f>M41/G41*100</f>
        <v>0</v>
      </c>
      <c r="O41" s="13"/>
      <c r="P41" s="8">
        <f>G41-M41</f>
        <v>436053900</v>
      </c>
    </row>
    <row r="42" spans="1:16" s="3" customFormat="1" ht="22.5" customHeight="1">
      <c r="A42" s="14">
        <v>2</v>
      </c>
      <c r="B42" s="14">
        <v>8</v>
      </c>
      <c r="C42" s="14">
        <v>1</v>
      </c>
      <c r="D42" s="15" t="s">
        <v>116</v>
      </c>
      <c r="E42" s="14">
        <v>2</v>
      </c>
      <c r="F42" s="166" t="s">
        <v>143</v>
      </c>
      <c r="G42" s="17">
        <v>300000000</v>
      </c>
      <c r="H42" s="18">
        <f t="shared" ref="H42:H53" si="9">+G42/$G$119*100%</f>
        <v>2.0936601541467925E-2</v>
      </c>
      <c r="I42" s="21">
        <f>Januari!M42</f>
        <v>0</v>
      </c>
      <c r="J42" s="190">
        <f>Januari!N42</f>
        <v>0</v>
      </c>
      <c r="K42" s="164"/>
      <c r="L42" s="29"/>
      <c r="M42" s="30"/>
      <c r="N42" s="29"/>
      <c r="O42" s="165"/>
      <c r="P42" s="30"/>
    </row>
    <row r="43" spans="1:16" s="3" customFormat="1" ht="22.5" customHeight="1">
      <c r="A43" s="14">
        <v>2</v>
      </c>
      <c r="B43" s="14">
        <v>8</v>
      </c>
      <c r="C43" s="14">
        <v>1</v>
      </c>
      <c r="D43" s="15" t="s">
        <v>116</v>
      </c>
      <c r="E43" s="14">
        <v>5</v>
      </c>
      <c r="F43" s="166" t="s">
        <v>144</v>
      </c>
      <c r="G43" s="17">
        <v>46109900</v>
      </c>
      <c r="H43" s="18">
        <f t="shared" si="9"/>
        <v>3.2179486780564395E-3</v>
      </c>
      <c r="I43" s="21">
        <f>Januari!M43</f>
        <v>0</v>
      </c>
      <c r="J43" s="190">
        <f>Januari!N43</f>
        <v>0</v>
      </c>
      <c r="K43" s="164"/>
      <c r="L43" s="29"/>
      <c r="M43" s="30"/>
      <c r="N43" s="29"/>
      <c r="O43" s="165"/>
      <c r="P43" s="30"/>
    </row>
    <row r="44" spans="1:16" s="3" customFormat="1" ht="22.5" customHeight="1">
      <c r="A44" s="14">
        <v>2</v>
      </c>
      <c r="B44" s="14">
        <v>8</v>
      </c>
      <c r="C44" s="14">
        <v>1</v>
      </c>
      <c r="D44" s="15" t="s">
        <v>116</v>
      </c>
      <c r="E44" s="14">
        <v>6</v>
      </c>
      <c r="F44" s="166" t="s">
        <v>119</v>
      </c>
      <c r="G44" s="17">
        <v>89944000</v>
      </c>
      <c r="H44" s="18">
        <f t="shared" si="9"/>
        <v>6.2770722968193034E-3</v>
      </c>
      <c r="I44" s="21">
        <f>Januari!M44</f>
        <v>0</v>
      </c>
      <c r="J44" s="190">
        <f>Januari!N44</f>
        <v>0</v>
      </c>
      <c r="K44" s="21"/>
      <c r="L44" s="20"/>
      <c r="M44" s="30"/>
      <c r="N44" s="29"/>
      <c r="O44" s="22"/>
      <c r="P44" s="21"/>
    </row>
    <row r="45" spans="1:16" s="106" customFormat="1" ht="22.5" customHeight="1">
      <c r="A45" s="5">
        <v>2</v>
      </c>
      <c r="B45" s="5">
        <v>8</v>
      </c>
      <c r="C45" s="5">
        <v>1</v>
      </c>
      <c r="D45" s="6" t="s">
        <v>23</v>
      </c>
      <c r="E45" s="5"/>
      <c r="F45" s="7" t="s">
        <v>3</v>
      </c>
      <c r="G45" s="45">
        <f>SUM(G46:G49)</f>
        <v>510041077</v>
      </c>
      <c r="H45" s="9">
        <f t="shared" si="9"/>
        <v>3.5595089329767203E-2</v>
      </c>
      <c r="I45" s="8">
        <f>Januari!M45</f>
        <v>26135000</v>
      </c>
      <c r="J45" s="11">
        <f>Januari!N45</f>
        <v>5.1240970930660943</v>
      </c>
      <c r="K45" s="45">
        <f>SUM(K46:K49)</f>
        <v>26000000</v>
      </c>
      <c r="L45" s="12">
        <f t="shared" ref="L45:L53" si="10">K45/G45*100</f>
        <v>5.0976286366833161</v>
      </c>
      <c r="M45" s="8">
        <f t="shared" ref="M45:M53" si="11">I45+K45</f>
        <v>52135000</v>
      </c>
      <c r="N45" s="12">
        <f t="shared" ref="N45:N53" si="12">M45/G45*100</f>
        <v>10.22172572974941</v>
      </c>
      <c r="O45" s="13"/>
      <c r="P45" s="8">
        <f t="shared" ref="P45:P53" si="13">G45-M45</f>
        <v>457906077</v>
      </c>
    </row>
    <row r="46" spans="1:16" s="3" customFormat="1" ht="22.5" customHeight="1">
      <c r="A46" s="14">
        <v>2</v>
      </c>
      <c r="B46" s="14">
        <v>8</v>
      </c>
      <c r="C46" s="14">
        <v>1</v>
      </c>
      <c r="D46" s="15" t="s">
        <v>23</v>
      </c>
      <c r="E46" s="14">
        <v>1</v>
      </c>
      <c r="F46" s="16" t="s">
        <v>65</v>
      </c>
      <c r="G46" s="17">
        <v>1749600</v>
      </c>
      <c r="H46" s="18">
        <f t="shared" si="9"/>
        <v>1.2210226018984094E-4</v>
      </c>
      <c r="I46" s="21">
        <f>Januari!M46</f>
        <v>0</v>
      </c>
      <c r="J46" s="190">
        <f>Januari!N46</f>
        <v>0</v>
      </c>
      <c r="K46" s="21">
        <v>0</v>
      </c>
      <c r="L46" s="20">
        <f t="shared" si="10"/>
        <v>0</v>
      </c>
      <c r="M46" s="30">
        <f t="shared" si="11"/>
        <v>0</v>
      </c>
      <c r="N46" s="29">
        <f t="shared" si="12"/>
        <v>0</v>
      </c>
      <c r="O46" s="22"/>
      <c r="P46" s="21">
        <f t="shared" si="13"/>
        <v>1749600</v>
      </c>
    </row>
    <row r="47" spans="1:16" s="3" customFormat="1" ht="22.5" customHeight="1">
      <c r="A47" s="14">
        <v>2</v>
      </c>
      <c r="B47" s="14">
        <v>8</v>
      </c>
      <c r="C47" s="14">
        <v>1</v>
      </c>
      <c r="D47" s="15" t="s">
        <v>23</v>
      </c>
      <c r="E47" s="14">
        <v>2</v>
      </c>
      <c r="F47" s="16" t="s">
        <v>66</v>
      </c>
      <c r="G47" s="17">
        <v>114691477</v>
      </c>
      <c r="H47" s="18">
        <f t="shared" si="9"/>
        <v>8.004165847171443E-3</v>
      </c>
      <c r="I47" s="21">
        <f>Januari!M47</f>
        <v>0</v>
      </c>
      <c r="J47" s="190">
        <f>Januari!N47</f>
        <v>0</v>
      </c>
      <c r="K47" s="21">
        <v>0</v>
      </c>
      <c r="L47" s="20">
        <f t="shared" si="10"/>
        <v>0</v>
      </c>
      <c r="M47" s="30">
        <f t="shared" si="11"/>
        <v>0</v>
      </c>
      <c r="N47" s="29">
        <f t="shared" si="12"/>
        <v>0</v>
      </c>
      <c r="O47" s="22"/>
      <c r="P47" s="21">
        <f t="shared" si="13"/>
        <v>114691477</v>
      </c>
    </row>
    <row r="48" spans="1:16" s="3" customFormat="1" ht="22.5" customHeight="1">
      <c r="A48" s="14">
        <v>2</v>
      </c>
      <c r="B48" s="14">
        <v>8</v>
      </c>
      <c r="C48" s="14">
        <v>1</v>
      </c>
      <c r="D48" s="15" t="s">
        <v>23</v>
      </c>
      <c r="E48" s="14">
        <v>3</v>
      </c>
      <c r="F48" s="16" t="s">
        <v>67</v>
      </c>
      <c r="G48" s="17">
        <v>36800000</v>
      </c>
      <c r="H48" s="18">
        <f t="shared" si="9"/>
        <v>2.5682231224200655E-3</v>
      </c>
      <c r="I48" s="21">
        <f>Januari!M48</f>
        <v>0</v>
      </c>
      <c r="J48" s="190">
        <f>Januari!N48</f>
        <v>0</v>
      </c>
      <c r="K48" s="21">
        <v>0</v>
      </c>
      <c r="L48" s="20">
        <f t="shared" si="10"/>
        <v>0</v>
      </c>
      <c r="M48" s="30">
        <f t="shared" si="11"/>
        <v>0</v>
      </c>
      <c r="N48" s="29">
        <f t="shared" si="12"/>
        <v>0</v>
      </c>
      <c r="O48" s="22"/>
      <c r="P48" s="21">
        <f t="shared" si="13"/>
        <v>36800000</v>
      </c>
    </row>
    <row r="49" spans="1:16" s="3" customFormat="1" ht="22.5" customHeight="1">
      <c r="A49" s="14">
        <v>2</v>
      </c>
      <c r="B49" s="14">
        <v>8</v>
      </c>
      <c r="C49" s="14">
        <v>1</v>
      </c>
      <c r="D49" s="15" t="s">
        <v>23</v>
      </c>
      <c r="E49" s="14">
        <v>4</v>
      </c>
      <c r="F49" s="16" t="s">
        <v>68</v>
      </c>
      <c r="G49" s="17">
        <v>356800000</v>
      </c>
      <c r="H49" s="18">
        <f t="shared" si="9"/>
        <v>2.4900598099985852E-2</v>
      </c>
      <c r="I49" s="21">
        <f>Januari!M49</f>
        <v>26135000</v>
      </c>
      <c r="J49" s="190">
        <f>Januari!N49</f>
        <v>7.3248318385650224</v>
      </c>
      <c r="K49" s="24">
        <f>26000000</f>
        <v>26000000</v>
      </c>
      <c r="L49" s="20">
        <f t="shared" si="10"/>
        <v>7.2869955156950672</v>
      </c>
      <c r="M49" s="21">
        <f t="shared" si="11"/>
        <v>52135000</v>
      </c>
      <c r="N49" s="20">
        <f t="shared" si="12"/>
        <v>14.61182735426009</v>
      </c>
      <c r="O49" s="22"/>
      <c r="P49" s="21">
        <f t="shared" si="13"/>
        <v>304665000</v>
      </c>
    </row>
    <row r="50" spans="1:16" s="106" customFormat="1" ht="22.5" customHeight="1">
      <c r="A50" s="5">
        <v>2</v>
      </c>
      <c r="B50" s="5">
        <v>8</v>
      </c>
      <c r="C50" s="5">
        <v>1</v>
      </c>
      <c r="D50" s="6" t="s">
        <v>22</v>
      </c>
      <c r="E50" s="5"/>
      <c r="F50" s="7" t="s">
        <v>21</v>
      </c>
      <c r="G50" s="26">
        <f>SUM(G51:G53)</f>
        <v>316034000</v>
      </c>
      <c r="H50" s="9">
        <f t="shared" si="9"/>
        <v>2.2055593105187579E-2</v>
      </c>
      <c r="I50" s="8">
        <f>Januari!M50</f>
        <v>0</v>
      </c>
      <c r="J50" s="11">
        <f>Januari!N50</f>
        <v>0</v>
      </c>
      <c r="K50" s="26">
        <f>SUM(K51:K53)</f>
        <v>0</v>
      </c>
      <c r="L50" s="108">
        <f t="shared" si="10"/>
        <v>0</v>
      </c>
      <c r="M50" s="8">
        <f t="shared" si="11"/>
        <v>0</v>
      </c>
      <c r="N50" s="12">
        <f t="shared" si="12"/>
        <v>0</v>
      </c>
      <c r="O50" s="13"/>
      <c r="P50" s="8">
        <f t="shared" si="13"/>
        <v>316034000</v>
      </c>
    </row>
    <row r="51" spans="1:16" s="3" customFormat="1" ht="31.5" customHeight="1">
      <c r="A51" s="14">
        <v>2</v>
      </c>
      <c r="B51" s="14">
        <v>8</v>
      </c>
      <c r="C51" s="14">
        <v>1</v>
      </c>
      <c r="D51" s="15" t="s">
        <v>22</v>
      </c>
      <c r="E51" s="14">
        <v>1</v>
      </c>
      <c r="F51" s="16" t="s">
        <v>69</v>
      </c>
      <c r="G51" s="25">
        <v>205390000</v>
      </c>
      <c r="H51" s="18">
        <f t="shared" si="9"/>
        <v>1.433389530200699E-2</v>
      </c>
      <c r="I51" s="21">
        <f>Januari!M51</f>
        <v>0</v>
      </c>
      <c r="J51" s="190">
        <f>Januari!N51</f>
        <v>0</v>
      </c>
      <c r="K51" s="21">
        <v>0</v>
      </c>
      <c r="L51" s="20">
        <f t="shared" si="10"/>
        <v>0</v>
      </c>
      <c r="M51" s="30">
        <f t="shared" si="11"/>
        <v>0</v>
      </c>
      <c r="N51" s="29">
        <f t="shared" si="12"/>
        <v>0</v>
      </c>
      <c r="O51" s="22"/>
      <c r="P51" s="21">
        <f t="shared" si="13"/>
        <v>205390000</v>
      </c>
    </row>
    <row r="52" spans="1:16" s="3" customFormat="1" ht="22.5" customHeight="1">
      <c r="A52" s="14">
        <v>2</v>
      </c>
      <c r="B52" s="14">
        <v>8</v>
      </c>
      <c r="C52" s="14">
        <v>1</v>
      </c>
      <c r="D52" s="15" t="s">
        <v>22</v>
      </c>
      <c r="E52" s="14">
        <v>6</v>
      </c>
      <c r="F52" s="16" t="s">
        <v>70</v>
      </c>
      <c r="G52" s="25">
        <v>23440000</v>
      </c>
      <c r="H52" s="18">
        <f t="shared" si="9"/>
        <v>1.6358464671066939E-3</v>
      </c>
      <c r="I52" s="21">
        <f>Januari!M52</f>
        <v>0</v>
      </c>
      <c r="J52" s="190">
        <f>Januari!N52</f>
        <v>0</v>
      </c>
      <c r="K52" s="21">
        <v>0</v>
      </c>
      <c r="L52" s="20">
        <f t="shared" si="10"/>
        <v>0</v>
      </c>
      <c r="M52" s="30">
        <f t="shared" si="11"/>
        <v>0</v>
      </c>
      <c r="N52" s="29">
        <f t="shared" si="12"/>
        <v>0</v>
      </c>
      <c r="O52" s="22"/>
      <c r="P52" s="21">
        <f t="shared" si="13"/>
        <v>23440000</v>
      </c>
    </row>
    <row r="53" spans="1:16" s="3" customFormat="1" ht="22.5" customHeight="1">
      <c r="A53" s="14">
        <v>2</v>
      </c>
      <c r="B53" s="14">
        <v>8</v>
      </c>
      <c r="C53" s="14">
        <v>1</v>
      </c>
      <c r="D53" s="15" t="s">
        <v>22</v>
      </c>
      <c r="E53" s="14">
        <v>9</v>
      </c>
      <c r="F53" s="16" t="s">
        <v>88</v>
      </c>
      <c r="G53" s="25">
        <v>87204000</v>
      </c>
      <c r="H53" s="18">
        <f t="shared" si="9"/>
        <v>6.0858513360738959E-3</v>
      </c>
      <c r="I53" s="21">
        <f>Januari!M53</f>
        <v>0</v>
      </c>
      <c r="J53" s="190">
        <f>Januari!N53</f>
        <v>0</v>
      </c>
      <c r="K53" s="21">
        <v>0</v>
      </c>
      <c r="L53" s="20">
        <f t="shared" si="10"/>
        <v>0</v>
      </c>
      <c r="M53" s="30">
        <f t="shared" si="11"/>
        <v>0</v>
      </c>
      <c r="N53" s="29">
        <f t="shared" si="12"/>
        <v>0</v>
      </c>
      <c r="O53" s="22"/>
      <c r="P53" s="21">
        <f t="shared" si="13"/>
        <v>87204000</v>
      </c>
    </row>
    <row r="54" spans="1:16" s="146" customFormat="1" ht="31.5" customHeight="1">
      <c r="A54" s="130"/>
      <c r="B54" s="130"/>
      <c r="C54" s="130"/>
      <c r="D54" s="131"/>
      <c r="E54" s="130"/>
      <c r="F54" s="140" t="s">
        <v>108</v>
      </c>
      <c r="G54" s="144">
        <f>G55+G67+G72</f>
        <v>637720000</v>
      </c>
      <c r="H54" s="132"/>
      <c r="I54" s="138">
        <f>Januari!M54</f>
        <v>0</v>
      </c>
      <c r="J54" s="134">
        <f>Januari!N54</f>
        <v>0</v>
      </c>
      <c r="K54" s="136"/>
      <c r="L54" s="135"/>
      <c r="M54" s="138"/>
      <c r="N54" s="139"/>
      <c r="O54" s="143"/>
      <c r="P54" s="136"/>
    </row>
    <row r="55" spans="1:16" s="49" customFormat="1" ht="22.5" customHeight="1">
      <c r="A55" s="36">
        <v>2</v>
      </c>
      <c r="B55" s="36">
        <v>8</v>
      </c>
      <c r="C55" s="36">
        <v>2</v>
      </c>
      <c r="D55" s="37"/>
      <c r="E55" s="36"/>
      <c r="F55" s="38" t="s">
        <v>20</v>
      </c>
      <c r="G55" s="46">
        <f>G56+G58</f>
        <v>328000000</v>
      </c>
      <c r="H55" s="40">
        <f>+G55/$G$119*100%</f>
        <v>2.289068435200493E-2</v>
      </c>
      <c r="I55" s="39">
        <f>Januari!M55</f>
        <v>0</v>
      </c>
      <c r="J55" s="42">
        <f>Januari!N55</f>
        <v>0</v>
      </c>
      <c r="K55" s="46">
        <f>K56</f>
        <v>0</v>
      </c>
      <c r="L55" s="43">
        <f>K55/G55*100</f>
        <v>0</v>
      </c>
      <c r="M55" s="39">
        <f>I55+K55</f>
        <v>0</v>
      </c>
      <c r="N55" s="43">
        <f>M55/G55*100</f>
        <v>0</v>
      </c>
      <c r="O55" s="44"/>
      <c r="P55" s="39">
        <f>G55-M55</f>
        <v>328000000</v>
      </c>
    </row>
    <row r="56" spans="1:16" s="106" customFormat="1" ht="31.5" customHeight="1">
      <c r="A56" s="5">
        <v>2</v>
      </c>
      <c r="B56" s="5">
        <v>8</v>
      </c>
      <c r="C56" s="5">
        <v>2</v>
      </c>
      <c r="D56" s="6" t="s">
        <v>8</v>
      </c>
      <c r="E56" s="5"/>
      <c r="F56" s="7" t="s">
        <v>19</v>
      </c>
      <c r="G56" s="45">
        <f>SUM(G57:G57)</f>
        <v>133000000</v>
      </c>
      <c r="H56" s="9">
        <f>+G56/$G$119*100%</f>
        <v>9.2818933500507794E-3</v>
      </c>
      <c r="I56" s="8">
        <f>Januari!M56</f>
        <v>0</v>
      </c>
      <c r="J56" s="11">
        <f>Januari!N56</f>
        <v>0</v>
      </c>
      <c r="K56" s="45">
        <f>SUM(K57:K57)</f>
        <v>0</v>
      </c>
      <c r="L56" s="12">
        <f>K56/G56*100</f>
        <v>0</v>
      </c>
      <c r="M56" s="8">
        <f>I56+K56</f>
        <v>0</v>
      </c>
      <c r="N56" s="12">
        <f>M56/G56*100</f>
        <v>0</v>
      </c>
      <c r="O56" s="13"/>
      <c r="P56" s="8">
        <f>G56-M56</f>
        <v>133000000</v>
      </c>
    </row>
    <row r="57" spans="1:16" s="3" customFormat="1" ht="30" customHeight="1">
      <c r="A57" s="14">
        <v>2</v>
      </c>
      <c r="B57" s="14">
        <v>8</v>
      </c>
      <c r="C57" s="14">
        <v>2</v>
      </c>
      <c r="D57" s="15" t="s">
        <v>8</v>
      </c>
      <c r="E57" s="14">
        <v>7</v>
      </c>
      <c r="F57" s="166" t="s">
        <v>145</v>
      </c>
      <c r="G57" s="17">
        <v>133000000</v>
      </c>
      <c r="H57" s="18">
        <f>+G57/$G$119*100%</f>
        <v>9.2818933500507794E-3</v>
      </c>
      <c r="I57" s="21">
        <f>Januari!M57</f>
        <v>0</v>
      </c>
      <c r="J57" s="190">
        <f>Januari!N57</f>
        <v>0</v>
      </c>
      <c r="K57" s="21">
        <v>0</v>
      </c>
      <c r="L57" s="20">
        <f>K57/G57*100</f>
        <v>0</v>
      </c>
      <c r="M57" s="30">
        <f>I57+K57</f>
        <v>0</v>
      </c>
      <c r="N57" s="29">
        <f>M57/G57*100</f>
        <v>0</v>
      </c>
      <c r="O57" s="22"/>
      <c r="P57" s="21">
        <f>G57-M57</f>
        <v>133000000</v>
      </c>
    </row>
    <row r="58" spans="1:16" s="3" customFormat="1" ht="36" customHeight="1">
      <c r="A58" s="5">
        <v>2</v>
      </c>
      <c r="B58" s="5">
        <v>8</v>
      </c>
      <c r="C58" s="5">
        <v>2</v>
      </c>
      <c r="D58" s="6" t="s">
        <v>7</v>
      </c>
      <c r="E58" s="5"/>
      <c r="F58" s="7" t="s">
        <v>146</v>
      </c>
      <c r="G58" s="45">
        <f>SUM(G59:G59)</f>
        <v>195000000</v>
      </c>
      <c r="H58" s="9">
        <f>+G58/$G$119*100%</f>
        <v>1.3608791001954151E-2</v>
      </c>
      <c r="I58" s="8">
        <f>Januari!M58</f>
        <v>0</v>
      </c>
      <c r="J58" s="11">
        <f>Januari!N58</f>
        <v>0</v>
      </c>
      <c r="K58" s="45">
        <f>SUM(K59:K59)</f>
        <v>0</v>
      </c>
      <c r="L58" s="12">
        <f>K58/G58*100</f>
        <v>0</v>
      </c>
      <c r="M58" s="8">
        <f>I58+K58</f>
        <v>0</v>
      </c>
      <c r="N58" s="12">
        <f>M58/G58*100</f>
        <v>0</v>
      </c>
      <c r="O58" s="13"/>
      <c r="P58" s="8">
        <f>G58-M58</f>
        <v>195000000</v>
      </c>
    </row>
    <row r="59" spans="1:16" s="3" customFormat="1" ht="34.5" customHeight="1">
      <c r="A59" s="14">
        <v>2</v>
      </c>
      <c r="B59" s="14">
        <v>8</v>
      </c>
      <c r="C59" s="14">
        <v>2</v>
      </c>
      <c r="D59" s="15" t="s">
        <v>7</v>
      </c>
      <c r="E59" s="14">
        <v>2</v>
      </c>
      <c r="F59" s="166" t="s">
        <v>147</v>
      </c>
      <c r="G59" s="17">
        <v>195000000</v>
      </c>
      <c r="H59" s="18">
        <f>+G59/$G$119*100%</f>
        <v>1.3608791001954151E-2</v>
      </c>
      <c r="I59" s="21">
        <f>Januari!M59</f>
        <v>0</v>
      </c>
      <c r="J59" s="190">
        <f>Januari!N59</f>
        <v>0</v>
      </c>
      <c r="K59" s="21">
        <v>0</v>
      </c>
      <c r="L59" s="20">
        <f>K59/G59*100</f>
        <v>0</v>
      </c>
      <c r="M59" s="30">
        <f>I59+K59</f>
        <v>0</v>
      </c>
      <c r="N59" s="29">
        <f>M59/G59*100</f>
        <v>0</v>
      </c>
      <c r="O59" s="22"/>
      <c r="P59" s="21">
        <f>G59-M59</f>
        <v>195000000</v>
      </c>
    </row>
    <row r="60" spans="1:16" s="146" customFormat="1" ht="31.5" customHeight="1">
      <c r="A60" s="130"/>
      <c r="B60" s="130"/>
      <c r="C60" s="130"/>
      <c r="D60" s="131"/>
      <c r="E60" s="130"/>
      <c r="F60" s="140" t="s">
        <v>103</v>
      </c>
      <c r="G60" s="144">
        <f>G61</f>
        <v>389086600</v>
      </c>
      <c r="H60" s="132"/>
      <c r="I60" s="138">
        <f>Januari!M60</f>
        <v>0</v>
      </c>
      <c r="J60" s="134">
        <f>Januari!N60</f>
        <v>0</v>
      </c>
      <c r="K60" s="136"/>
      <c r="L60" s="135"/>
      <c r="M60" s="138"/>
      <c r="N60" s="139"/>
      <c r="O60" s="143"/>
      <c r="P60" s="136"/>
    </row>
    <row r="61" spans="1:16" s="49" customFormat="1" ht="22.5" customHeight="1">
      <c r="A61" s="36">
        <v>2</v>
      </c>
      <c r="B61" s="36">
        <v>8</v>
      </c>
      <c r="C61" s="36">
        <v>3</v>
      </c>
      <c r="D61" s="37"/>
      <c r="E61" s="36"/>
      <c r="F61" s="38" t="s">
        <v>2</v>
      </c>
      <c r="G61" s="47">
        <f>G62+G64</f>
        <v>389086600</v>
      </c>
      <c r="H61" s="40">
        <f t="shared" ref="H61:H74" si="14">+G61/$G$119*100%</f>
        <v>2.7153837031081714E-2</v>
      </c>
      <c r="I61" s="39">
        <f>Januari!M61</f>
        <v>0</v>
      </c>
      <c r="J61" s="42">
        <f>Januari!N61</f>
        <v>0</v>
      </c>
      <c r="K61" s="47">
        <f>K62+K64</f>
        <v>0</v>
      </c>
      <c r="L61" s="109">
        <f t="shared" ref="L61:L74" si="15">K61/G61*100</f>
        <v>0</v>
      </c>
      <c r="M61" s="39">
        <f t="shared" ref="M61:M74" si="16">I61+K61</f>
        <v>0</v>
      </c>
      <c r="N61" s="43">
        <f t="shared" ref="N61:N74" si="17">M61/G61*100</f>
        <v>0</v>
      </c>
      <c r="O61" s="44"/>
      <c r="P61" s="39">
        <f t="shared" ref="P61:P74" si="18">G61-M61</f>
        <v>389086600</v>
      </c>
    </row>
    <row r="62" spans="1:16" s="106" customFormat="1" ht="32.25" customHeight="1">
      <c r="A62" s="5">
        <v>2</v>
      </c>
      <c r="B62" s="5">
        <v>8</v>
      </c>
      <c r="C62" s="5">
        <v>3</v>
      </c>
      <c r="D62" s="6" t="s">
        <v>8</v>
      </c>
      <c r="E62" s="5"/>
      <c r="F62" s="7" t="s">
        <v>18</v>
      </c>
      <c r="G62" s="45">
        <f>G63</f>
        <v>183550000</v>
      </c>
      <c r="H62" s="9">
        <f t="shared" si="14"/>
        <v>1.2809710709788124E-2</v>
      </c>
      <c r="I62" s="8">
        <f>Januari!M62</f>
        <v>0</v>
      </c>
      <c r="J62" s="11">
        <f>Januari!N62</f>
        <v>0</v>
      </c>
      <c r="K62" s="45">
        <f>K63</f>
        <v>0</v>
      </c>
      <c r="L62" s="108">
        <f t="shared" si="15"/>
        <v>0</v>
      </c>
      <c r="M62" s="8">
        <f t="shared" si="16"/>
        <v>0</v>
      </c>
      <c r="N62" s="12">
        <f t="shared" si="17"/>
        <v>0</v>
      </c>
      <c r="O62" s="13"/>
      <c r="P62" s="8">
        <f t="shared" si="18"/>
        <v>183550000</v>
      </c>
    </row>
    <row r="63" spans="1:16" s="3" customFormat="1" ht="32.25" customHeight="1">
      <c r="A63" s="14">
        <v>2</v>
      </c>
      <c r="B63" s="14">
        <v>8</v>
      </c>
      <c r="C63" s="14">
        <v>3</v>
      </c>
      <c r="D63" s="15" t="s">
        <v>8</v>
      </c>
      <c r="E63" s="14">
        <v>1</v>
      </c>
      <c r="F63" s="16" t="s">
        <v>71</v>
      </c>
      <c r="G63" s="17">
        <v>183550000</v>
      </c>
      <c r="H63" s="18">
        <f t="shared" si="14"/>
        <v>1.2809710709788124E-2</v>
      </c>
      <c r="I63" s="21">
        <f>Januari!M63</f>
        <v>0</v>
      </c>
      <c r="J63" s="190">
        <f>Januari!N63</f>
        <v>0</v>
      </c>
      <c r="K63" s="21">
        <v>0</v>
      </c>
      <c r="L63" s="20">
        <f t="shared" si="15"/>
        <v>0</v>
      </c>
      <c r="M63" s="30">
        <f t="shared" si="16"/>
        <v>0</v>
      </c>
      <c r="N63" s="29">
        <f t="shared" si="17"/>
        <v>0</v>
      </c>
      <c r="O63" s="22"/>
      <c r="P63" s="21">
        <f t="shared" si="18"/>
        <v>183550000</v>
      </c>
    </row>
    <row r="64" spans="1:16" s="106" customFormat="1" ht="32.25" customHeight="1">
      <c r="A64" s="5">
        <v>2</v>
      </c>
      <c r="B64" s="5">
        <v>8</v>
      </c>
      <c r="C64" s="5">
        <v>3</v>
      </c>
      <c r="D64" s="6" t="s">
        <v>14</v>
      </c>
      <c r="E64" s="5"/>
      <c r="F64" s="7" t="s">
        <v>17</v>
      </c>
      <c r="G64" s="45">
        <f>G65+G66</f>
        <v>205536600</v>
      </c>
      <c r="H64" s="9">
        <f t="shared" si="14"/>
        <v>1.4344126321293588E-2</v>
      </c>
      <c r="I64" s="8">
        <f>Januari!M64</f>
        <v>0</v>
      </c>
      <c r="J64" s="11">
        <f>Januari!N64</f>
        <v>0</v>
      </c>
      <c r="K64" s="45">
        <f>K65+K66</f>
        <v>0</v>
      </c>
      <c r="L64" s="108">
        <f t="shared" si="15"/>
        <v>0</v>
      </c>
      <c r="M64" s="8">
        <f t="shared" si="16"/>
        <v>0</v>
      </c>
      <c r="N64" s="12">
        <f t="shared" si="17"/>
        <v>0</v>
      </c>
      <c r="O64" s="13"/>
      <c r="P64" s="8">
        <f t="shared" si="18"/>
        <v>205536600</v>
      </c>
    </row>
    <row r="65" spans="1:16" s="3" customFormat="1" ht="32.25" customHeight="1">
      <c r="A65" s="14">
        <v>2</v>
      </c>
      <c r="B65" s="14">
        <v>8</v>
      </c>
      <c r="C65" s="14">
        <v>3</v>
      </c>
      <c r="D65" s="15" t="s">
        <v>14</v>
      </c>
      <c r="E65" s="14">
        <v>2</v>
      </c>
      <c r="F65" s="16" t="s">
        <v>72</v>
      </c>
      <c r="G65" s="17">
        <v>138961600</v>
      </c>
      <c r="H65" s="18">
        <f t="shared" si="14"/>
        <v>9.6979454958828308E-3</v>
      </c>
      <c r="I65" s="21">
        <f>Januari!M65</f>
        <v>0</v>
      </c>
      <c r="J65" s="190">
        <f>Januari!N65</f>
        <v>0</v>
      </c>
      <c r="K65" s="21">
        <v>0</v>
      </c>
      <c r="L65" s="20">
        <f t="shared" si="15"/>
        <v>0</v>
      </c>
      <c r="M65" s="30">
        <f t="shared" si="16"/>
        <v>0</v>
      </c>
      <c r="N65" s="29">
        <f t="shared" si="17"/>
        <v>0</v>
      </c>
      <c r="O65" s="22"/>
      <c r="P65" s="21">
        <f t="shared" si="18"/>
        <v>138961600</v>
      </c>
    </row>
    <row r="66" spans="1:16" s="3" customFormat="1" ht="32.25" customHeight="1">
      <c r="A66" s="14">
        <v>2</v>
      </c>
      <c r="B66" s="14">
        <v>8</v>
      </c>
      <c r="C66" s="14">
        <v>3</v>
      </c>
      <c r="D66" s="15" t="s">
        <v>14</v>
      </c>
      <c r="E66" s="14">
        <v>3</v>
      </c>
      <c r="F66" s="16" t="s">
        <v>73</v>
      </c>
      <c r="G66" s="17">
        <v>66575000</v>
      </c>
      <c r="H66" s="18">
        <f t="shared" si="14"/>
        <v>4.6461808254107569E-3</v>
      </c>
      <c r="I66" s="21">
        <f>Januari!M66</f>
        <v>0</v>
      </c>
      <c r="J66" s="190">
        <f>Januari!N66</f>
        <v>0</v>
      </c>
      <c r="K66" s="21">
        <v>0</v>
      </c>
      <c r="L66" s="20">
        <f t="shared" si="15"/>
        <v>0</v>
      </c>
      <c r="M66" s="30">
        <f t="shared" si="16"/>
        <v>0</v>
      </c>
      <c r="N66" s="29">
        <f t="shared" si="17"/>
        <v>0</v>
      </c>
      <c r="O66" s="22"/>
      <c r="P66" s="21">
        <f t="shared" si="18"/>
        <v>66575000</v>
      </c>
    </row>
    <row r="67" spans="1:16" s="49" customFormat="1" ht="26.25" customHeight="1">
      <c r="A67" s="36">
        <v>2</v>
      </c>
      <c r="B67" s="36">
        <v>8</v>
      </c>
      <c r="C67" s="36">
        <v>4</v>
      </c>
      <c r="D67" s="37"/>
      <c r="E67" s="36"/>
      <c r="F67" s="38" t="s">
        <v>111</v>
      </c>
      <c r="G67" s="46">
        <f>G68+G70</f>
        <v>284720000</v>
      </c>
      <c r="H67" s="40">
        <f t="shared" si="14"/>
        <v>1.9870230636289159E-2</v>
      </c>
      <c r="I67" s="39">
        <f>Januari!M67</f>
        <v>0</v>
      </c>
      <c r="J67" s="42">
        <f>Januari!N67</f>
        <v>0</v>
      </c>
      <c r="K67" s="46">
        <f>+K68</f>
        <v>0</v>
      </c>
      <c r="L67" s="109">
        <f t="shared" si="15"/>
        <v>0</v>
      </c>
      <c r="M67" s="39">
        <f t="shared" si="16"/>
        <v>0</v>
      </c>
      <c r="N67" s="43">
        <f t="shared" si="17"/>
        <v>0</v>
      </c>
      <c r="O67" s="48"/>
      <c r="P67" s="39">
        <f t="shared" si="18"/>
        <v>284720000</v>
      </c>
    </row>
    <row r="68" spans="1:16" s="106" customFormat="1" ht="35.25" customHeight="1">
      <c r="A68" s="5">
        <v>2</v>
      </c>
      <c r="B68" s="5">
        <v>8</v>
      </c>
      <c r="C68" s="5">
        <v>4</v>
      </c>
      <c r="D68" s="6" t="s">
        <v>8</v>
      </c>
      <c r="E68" s="5"/>
      <c r="F68" s="167" t="s">
        <v>121</v>
      </c>
      <c r="G68" s="45">
        <f>G69</f>
        <v>234720000</v>
      </c>
      <c r="H68" s="9">
        <f t="shared" si="14"/>
        <v>1.6380797046044504E-2</v>
      </c>
      <c r="I68" s="8">
        <f>Januari!M68</f>
        <v>0</v>
      </c>
      <c r="J68" s="11">
        <f>Januari!N68</f>
        <v>0</v>
      </c>
      <c r="K68" s="45">
        <f>K69+K74</f>
        <v>0</v>
      </c>
      <c r="L68" s="108">
        <f t="shared" si="15"/>
        <v>0</v>
      </c>
      <c r="M68" s="8">
        <f t="shared" si="16"/>
        <v>0</v>
      </c>
      <c r="N68" s="12">
        <f t="shared" si="17"/>
        <v>0</v>
      </c>
      <c r="O68" s="13"/>
      <c r="P68" s="8">
        <f t="shared" si="18"/>
        <v>234720000</v>
      </c>
    </row>
    <row r="69" spans="1:16" s="3" customFormat="1" ht="34.5" customHeight="1">
      <c r="A69" s="14">
        <v>2</v>
      </c>
      <c r="B69" s="14">
        <v>8</v>
      </c>
      <c r="C69" s="14">
        <v>4</v>
      </c>
      <c r="D69" s="15" t="s">
        <v>8</v>
      </c>
      <c r="E69" s="14">
        <v>3</v>
      </c>
      <c r="F69" s="166" t="s">
        <v>148</v>
      </c>
      <c r="G69" s="17">
        <v>234720000</v>
      </c>
      <c r="H69" s="18">
        <f t="shared" si="14"/>
        <v>1.6380797046044504E-2</v>
      </c>
      <c r="I69" s="21">
        <f>Januari!M69</f>
        <v>0</v>
      </c>
      <c r="J69" s="190">
        <f>Januari!N69</f>
        <v>0</v>
      </c>
      <c r="K69" s="21">
        <v>0</v>
      </c>
      <c r="L69" s="20">
        <f t="shared" si="15"/>
        <v>0</v>
      </c>
      <c r="M69" s="30">
        <f t="shared" si="16"/>
        <v>0</v>
      </c>
      <c r="N69" s="29">
        <f t="shared" si="17"/>
        <v>0</v>
      </c>
      <c r="O69" s="22"/>
      <c r="P69" s="21">
        <f t="shared" si="18"/>
        <v>234720000</v>
      </c>
    </row>
    <row r="70" spans="1:16" s="3" customFormat="1" ht="36" customHeight="1">
      <c r="A70" s="5">
        <v>2</v>
      </c>
      <c r="B70" s="5">
        <v>8</v>
      </c>
      <c r="C70" s="5">
        <v>4</v>
      </c>
      <c r="D70" s="6" t="s">
        <v>7</v>
      </c>
      <c r="E70" s="5"/>
      <c r="F70" s="167" t="s">
        <v>149</v>
      </c>
      <c r="G70" s="45">
        <f>G71</f>
        <v>50000000</v>
      </c>
      <c r="H70" s="9">
        <f t="shared" si="14"/>
        <v>3.4894335902446541E-3</v>
      </c>
      <c r="I70" s="8">
        <f>Januari!M70</f>
        <v>0</v>
      </c>
      <c r="J70" s="11">
        <f>Januari!N70</f>
        <v>0</v>
      </c>
      <c r="K70" s="45">
        <f>K71+K76</f>
        <v>0</v>
      </c>
      <c r="L70" s="108">
        <f t="shared" si="15"/>
        <v>0</v>
      </c>
      <c r="M70" s="8">
        <f t="shared" si="16"/>
        <v>0</v>
      </c>
      <c r="N70" s="12">
        <f t="shared" si="17"/>
        <v>0</v>
      </c>
      <c r="O70" s="13"/>
      <c r="P70" s="8">
        <f t="shared" si="18"/>
        <v>50000000</v>
      </c>
    </row>
    <row r="71" spans="1:16" s="3" customFormat="1" ht="32.25" customHeight="1">
      <c r="A71" s="14">
        <v>2</v>
      </c>
      <c r="B71" s="14">
        <v>8</v>
      </c>
      <c r="C71" s="14">
        <v>4</v>
      </c>
      <c r="D71" s="15" t="s">
        <v>7</v>
      </c>
      <c r="E71" s="14">
        <v>2</v>
      </c>
      <c r="F71" s="166" t="s">
        <v>150</v>
      </c>
      <c r="G71" s="17">
        <v>50000000</v>
      </c>
      <c r="H71" s="18">
        <f t="shared" si="14"/>
        <v>3.4894335902446541E-3</v>
      </c>
      <c r="I71" s="21">
        <f>Januari!M71</f>
        <v>0</v>
      </c>
      <c r="J71" s="190">
        <f>Januari!N71</f>
        <v>0</v>
      </c>
      <c r="K71" s="21">
        <v>0</v>
      </c>
      <c r="L71" s="20">
        <f t="shared" si="15"/>
        <v>0</v>
      </c>
      <c r="M71" s="30">
        <f t="shared" si="16"/>
        <v>0</v>
      </c>
      <c r="N71" s="29">
        <f t="shared" si="17"/>
        <v>0</v>
      </c>
      <c r="O71" s="22"/>
      <c r="P71" s="21">
        <f t="shared" si="18"/>
        <v>50000000</v>
      </c>
    </row>
    <row r="72" spans="1:16" s="3" customFormat="1" ht="32.25" customHeight="1">
      <c r="A72" s="36">
        <v>2</v>
      </c>
      <c r="B72" s="36">
        <v>8</v>
      </c>
      <c r="C72" s="36">
        <v>5</v>
      </c>
      <c r="D72" s="37"/>
      <c r="E72" s="36"/>
      <c r="F72" s="38" t="s">
        <v>151</v>
      </c>
      <c r="G72" s="46">
        <f>G73</f>
        <v>25000000</v>
      </c>
      <c r="H72" s="40">
        <f t="shared" si="14"/>
        <v>1.744716795122327E-3</v>
      </c>
      <c r="I72" s="39">
        <f>Januari!M72</f>
        <v>0</v>
      </c>
      <c r="J72" s="42">
        <f>Januari!N72</f>
        <v>0</v>
      </c>
      <c r="K72" s="46">
        <f>+K73</f>
        <v>0</v>
      </c>
      <c r="L72" s="109">
        <f t="shared" si="15"/>
        <v>0</v>
      </c>
      <c r="M72" s="39">
        <f t="shared" si="16"/>
        <v>0</v>
      </c>
      <c r="N72" s="43">
        <f t="shared" si="17"/>
        <v>0</v>
      </c>
      <c r="O72" s="48"/>
      <c r="P72" s="39">
        <f t="shared" si="18"/>
        <v>25000000</v>
      </c>
    </row>
    <row r="73" spans="1:16" s="3" customFormat="1" ht="32.25" customHeight="1">
      <c r="A73" s="5">
        <v>2</v>
      </c>
      <c r="B73" s="5">
        <v>8</v>
      </c>
      <c r="C73" s="5">
        <v>5</v>
      </c>
      <c r="D73" s="6" t="s">
        <v>8</v>
      </c>
      <c r="E73" s="5"/>
      <c r="F73" s="167" t="s">
        <v>152</v>
      </c>
      <c r="G73" s="45">
        <f>G74</f>
        <v>25000000</v>
      </c>
      <c r="H73" s="9">
        <f t="shared" si="14"/>
        <v>1.744716795122327E-3</v>
      </c>
      <c r="I73" s="8">
        <f>Januari!M73</f>
        <v>0</v>
      </c>
      <c r="J73" s="11">
        <f>Januari!N73</f>
        <v>0</v>
      </c>
      <c r="K73" s="45">
        <f>K74+K79</f>
        <v>0</v>
      </c>
      <c r="L73" s="108">
        <f t="shared" si="15"/>
        <v>0</v>
      </c>
      <c r="M73" s="8">
        <f t="shared" si="16"/>
        <v>0</v>
      </c>
      <c r="N73" s="12">
        <f t="shared" si="17"/>
        <v>0</v>
      </c>
      <c r="O73" s="13"/>
      <c r="P73" s="8">
        <f t="shared" si="18"/>
        <v>25000000</v>
      </c>
    </row>
    <row r="74" spans="1:16" s="3" customFormat="1" ht="30.75" customHeight="1">
      <c r="A74" s="14">
        <v>2</v>
      </c>
      <c r="B74" s="14">
        <v>8</v>
      </c>
      <c r="C74" s="14">
        <v>5</v>
      </c>
      <c r="D74" s="15" t="s">
        <v>8</v>
      </c>
      <c r="E74" s="14">
        <v>3</v>
      </c>
      <c r="F74" s="166" t="s">
        <v>153</v>
      </c>
      <c r="G74" s="17">
        <v>25000000</v>
      </c>
      <c r="H74" s="18">
        <f t="shared" si="14"/>
        <v>1.744716795122327E-3</v>
      </c>
      <c r="I74" s="21">
        <f>Januari!M74</f>
        <v>0</v>
      </c>
      <c r="J74" s="190">
        <f>Januari!N74</f>
        <v>0</v>
      </c>
      <c r="K74" s="21">
        <v>0</v>
      </c>
      <c r="L74" s="20">
        <f t="shared" si="15"/>
        <v>0</v>
      </c>
      <c r="M74" s="30">
        <f t="shared" si="16"/>
        <v>0</v>
      </c>
      <c r="N74" s="29">
        <f t="shared" si="17"/>
        <v>0</v>
      </c>
      <c r="O74" s="22"/>
      <c r="P74" s="21">
        <f t="shared" si="18"/>
        <v>25000000</v>
      </c>
    </row>
    <row r="75" spans="1:16" s="146" customFormat="1" ht="30" customHeight="1">
      <c r="A75" s="130"/>
      <c r="B75" s="130"/>
      <c r="C75" s="130"/>
      <c r="D75" s="131"/>
      <c r="E75" s="130"/>
      <c r="F75" s="140" t="s">
        <v>104</v>
      </c>
      <c r="G75" s="144">
        <f>G76</f>
        <v>429820700</v>
      </c>
      <c r="H75" s="132"/>
      <c r="I75" s="138">
        <f>Januari!M75</f>
        <v>0</v>
      </c>
      <c r="J75" s="134">
        <f>Januari!N75</f>
        <v>0</v>
      </c>
      <c r="K75" s="136"/>
      <c r="L75" s="135"/>
      <c r="M75" s="138"/>
      <c r="N75" s="139"/>
      <c r="O75" s="137"/>
      <c r="P75" s="136"/>
    </row>
    <row r="76" spans="1:16" s="49" customFormat="1" ht="23.25" customHeight="1">
      <c r="A76" s="36">
        <v>2</v>
      </c>
      <c r="B76" s="36">
        <v>8</v>
      </c>
      <c r="C76" s="36">
        <v>6</v>
      </c>
      <c r="D76" s="37"/>
      <c r="E76" s="36"/>
      <c r="F76" s="38" t="s">
        <v>16</v>
      </c>
      <c r="G76" s="46">
        <f>G77+G80</f>
        <v>429820700</v>
      </c>
      <c r="H76" s="40">
        <f t="shared" ref="H76:H81" si="19">+G76/$G$119*100%</f>
        <v>2.9996615767249407E-2</v>
      </c>
      <c r="I76" s="39">
        <f>Januari!M76</f>
        <v>0</v>
      </c>
      <c r="J76" s="42">
        <f>Januari!N76</f>
        <v>0</v>
      </c>
      <c r="K76" s="46">
        <f>+K77</f>
        <v>0</v>
      </c>
      <c r="L76" s="109">
        <f t="shared" ref="L76:L81" si="20">K76/G76*100</f>
        <v>0</v>
      </c>
      <c r="M76" s="39">
        <f t="shared" ref="M76:M81" si="21">I76+K76</f>
        <v>0</v>
      </c>
      <c r="N76" s="43">
        <f t="shared" ref="N76:N81" si="22">M76/G76*100</f>
        <v>0</v>
      </c>
      <c r="O76" s="44"/>
      <c r="P76" s="39">
        <f t="shared" ref="P76:P81" si="23">G76-M76</f>
        <v>429820700</v>
      </c>
    </row>
    <row r="77" spans="1:16" s="106" customFormat="1" ht="36" customHeight="1">
      <c r="A77" s="5">
        <v>2</v>
      </c>
      <c r="B77" s="5">
        <v>8</v>
      </c>
      <c r="C77" s="5">
        <v>6</v>
      </c>
      <c r="D77" s="6" t="s">
        <v>8</v>
      </c>
      <c r="E77" s="5"/>
      <c r="F77" s="7" t="s">
        <v>15</v>
      </c>
      <c r="G77" s="45">
        <f>G78+G79</f>
        <v>389820900</v>
      </c>
      <c r="H77" s="9">
        <f t="shared" si="19"/>
        <v>2.7205082852788044E-2</v>
      </c>
      <c r="I77" s="8">
        <f>Januari!M77</f>
        <v>0</v>
      </c>
      <c r="J77" s="11">
        <f>Januari!N77</f>
        <v>0</v>
      </c>
      <c r="K77" s="45">
        <f>K78+K79</f>
        <v>0</v>
      </c>
      <c r="L77" s="108">
        <f t="shared" si="20"/>
        <v>0</v>
      </c>
      <c r="M77" s="8">
        <f t="shared" si="21"/>
        <v>0</v>
      </c>
      <c r="N77" s="12">
        <f t="shared" si="22"/>
        <v>0</v>
      </c>
      <c r="O77" s="13"/>
      <c r="P77" s="8">
        <f t="shared" si="23"/>
        <v>389820900</v>
      </c>
    </row>
    <row r="78" spans="1:16" s="3" customFormat="1" ht="30" customHeight="1">
      <c r="A78" s="14">
        <v>2</v>
      </c>
      <c r="B78" s="14">
        <v>8</v>
      </c>
      <c r="C78" s="14">
        <v>6</v>
      </c>
      <c r="D78" s="15" t="s">
        <v>8</v>
      </c>
      <c r="E78" s="14">
        <v>2</v>
      </c>
      <c r="F78" s="166" t="s">
        <v>122</v>
      </c>
      <c r="G78" s="17">
        <v>201924900</v>
      </c>
      <c r="H78" s="18">
        <f t="shared" si="19"/>
        <v>1.4092070575335855E-2</v>
      </c>
      <c r="I78" s="21">
        <f>Januari!M78</f>
        <v>0</v>
      </c>
      <c r="J78" s="190">
        <f>Januari!N78</f>
        <v>0</v>
      </c>
      <c r="K78" s="21">
        <v>0</v>
      </c>
      <c r="L78" s="20">
        <f t="shared" si="20"/>
        <v>0</v>
      </c>
      <c r="M78" s="30">
        <f t="shared" si="21"/>
        <v>0</v>
      </c>
      <c r="N78" s="29">
        <f t="shared" si="22"/>
        <v>0</v>
      </c>
      <c r="O78" s="22"/>
      <c r="P78" s="21">
        <f t="shared" si="23"/>
        <v>201924900</v>
      </c>
    </row>
    <row r="79" spans="1:16" s="3" customFormat="1" ht="43.5" customHeight="1">
      <c r="A79" s="14">
        <v>2</v>
      </c>
      <c r="B79" s="14">
        <v>8</v>
      </c>
      <c r="C79" s="14">
        <v>6</v>
      </c>
      <c r="D79" s="15" t="s">
        <v>8</v>
      </c>
      <c r="E79" s="14">
        <v>3</v>
      </c>
      <c r="F79" s="166" t="s">
        <v>123</v>
      </c>
      <c r="G79" s="17">
        <v>187896000</v>
      </c>
      <c r="H79" s="18">
        <f t="shared" si="19"/>
        <v>1.311301227745219E-2</v>
      </c>
      <c r="I79" s="21">
        <f>Januari!M79</f>
        <v>0</v>
      </c>
      <c r="J79" s="190">
        <f>Januari!N79</f>
        <v>0</v>
      </c>
      <c r="K79" s="21">
        <v>0</v>
      </c>
      <c r="L79" s="20">
        <f t="shared" si="20"/>
        <v>0</v>
      </c>
      <c r="M79" s="30">
        <f t="shared" si="21"/>
        <v>0</v>
      </c>
      <c r="N79" s="29">
        <f t="shared" si="22"/>
        <v>0</v>
      </c>
      <c r="O79" s="22"/>
      <c r="P79" s="21">
        <f t="shared" si="23"/>
        <v>187896000</v>
      </c>
    </row>
    <row r="80" spans="1:16" s="3" customFormat="1" ht="33.75" customHeight="1">
      <c r="A80" s="5">
        <v>2</v>
      </c>
      <c r="B80" s="5">
        <v>8</v>
      </c>
      <c r="C80" s="5">
        <v>6</v>
      </c>
      <c r="D80" s="6" t="s">
        <v>7</v>
      </c>
      <c r="E80" s="5"/>
      <c r="F80" s="167" t="s">
        <v>124</v>
      </c>
      <c r="G80" s="45">
        <f>G81</f>
        <v>39999800</v>
      </c>
      <c r="H80" s="9">
        <f t="shared" si="19"/>
        <v>2.7915329144613623E-3</v>
      </c>
      <c r="I80" s="8">
        <f>Januari!M80</f>
        <v>0</v>
      </c>
      <c r="J80" s="11">
        <f>Januari!N80</f>
        <v>0</v>
      </c>
      <c r="K80" s="45">
        <f>K81+K82</f>
        <v>0</v>
      </c>
      <c r="L80" s="108">
        <f t="shared" si="20"/>
        <v>0</v>
      </c>
      <c r="M80" s="8">
        <f t="shared" si="21"/>
        <v>0</v>
      </c>
      <c r="N80" s="12">
        <f t="shared" si="22"/>
        <v>0</v>
      </c>
      <c r="O80" s="13"/>
      <c r="P80" s="8">
        <f t="shared" si="23"/>
        <v>39999800</v>
      </c>
    </row>
    <row r="81" spans="1:16" s="3" customFormat="1" ht="27.75" customHeight="1">
      <c r="A81" s="14">
        <v>2</v>
      </c>
      <c r="B81" s="14">
        <v>8</v>
      </c>
      <c r="C81" s="14">
        <v>6</v>
      </c>
      <c r="D81" s="15" t="s">
        <v>7</v>
      </c>
      <c r="E81" s="14">
        <v>6</v>
      </c>
      <c r="F81" s="166" t="s">
        <v>125</v>
      </c>
      <c r="G81" s="17">
        <v>39999800</v>
      </c>
      <c r="H81" s="18">
        <f t="shared" si="19"/>
        <v>2.7915329144613623E-3</v>
      </c>
      <c r="I81" s="21">
        <f>Januari!M81</f>
        <v>0</v>
      </c>
      <c r="J81" s="190">
        <f>Januari!N81</f>
        <v>0</v>
      </c>
      <c r="K81" s="21">
        <v>0</v>
      </c>
      <c r="L81" s="20">
        <f t="shared" si="20"/>
        <v>0</v>
      </c>
      <c r="M81" s="30">
        <f t="shared" si="21"/>
        <v>0</v>
      </c>
      <c r="N81" s="29">
        <f t="shared" si="22"/>
        <v>0</v>
      </c>
      <c r="O81" s="22"/>
      <c r="P81" s="21">
        <f t="shared" si="23"/>
        <v>39999800</v>
      </c>
    </row>
    <row r="82" spans="1:16" s="3" customFormat="1" ht="30" customHeight="1">
      <c r="A82" s="130"/>
      <c r="B82" s="130"/>
      <c r="C82" s="130"/>
      <c r="D82" s="131"/>
      <c r="E82" s="130"/>
      <c r="F82" s="140" t="s">
        <v>105</v>
      </c>
      <c r="G82" s="144">
        <f>G83</f>
        <v>690942900</v>
      </c>
      <c r="H82" s="132"/>
      <c r="I82" s="138">
        <f>Januari!M82</f>
        <v>0</v>
      </c>
      <c r="J82" s="134">
        <f>Januari!N82</f>
        <v>0</v>
      </c>
      <c r="K82" s="136"/>
      <c r="L82" s="135"/>
      <c r="M82" s="138"/>
      <c r="N82" s="139"/>
      <c r="O82" s="143"/>
      <c r="P82" s="136"/>
    </row>
    <row r="83" spans="1:16" s="49" customFormat="1" ht="27" customHeight="1">
      <c r="A83" s="36">
        <v>2</v>
      </c>
      <c r="B83" s="36">
        <v>8</v>
      </c>
      <c r="C83" s="36">
        <v>7</v>
      </c>
      <c r="D83" s="37"/>
      <c r="E83" s="36"/>
      <c r="F83" s="38" t="s">
        <v>94</v>
      </c>
      <c r="G83" s="46">
        <f>G84+G86</f>
        <v>690942900</v>
      </c>
      <c r="H83" s="40">
        <f>+G83/$G$119*100%</f>
        <v>4.8219987284021062E-2</v>
      </c>
      <c r="I83" s="39">
        <f>Januari!M83</f>
        <v>0</v>
      </c>
      <c r="J83" s="42">
        <f>Januari!N83</f>
        <v>0</v>
      </c>
      <c r="K83" s="46">
        <f>K84+K86</f>
        <v>0</v>
      </c>
      <c r="L83" s="109">
        <f>K83/G83*100</f>
        <v>0</v>
      </c>
      <c r="M83" s="39">
        <f>I83+K83</f>
        <v>0</v>
      </c>
      <c r="N83" s="43">
        <f>M83/G83*100</f>
        <v>0</v>
      </c>
      <c r="O83" s="44"/>
      <c r="P83" s="39">
        <f>G83-M83</f>
        <v>690942900</v>
      </c>
    </row>
    <row r="84" spans="1:16" s="106" customFormat="1" ht="40.5" customHeight="1">
      <c r="A84" s="5">
        <v>2</v>
      </c>
      <c r="B84" s="5">
        <v>8</v>
      </c>
      <c r="C84" s="5">
        <v>7</v>
      </c>
      <c r="D84" s="6" t="s">
        <v>8</v>
      </c>
      <c r="E84" s="5"/>
      <c r="F84" s="7" t="s">
        <v>43</v>
      </c>
      <c r="G84" s="45">
        <f>G85</f>
        <v>514072900</v>
      </c>
      <c r="H84" s="9">
        <f>+G84/$G$119*100%</f>
        <v>3.5876464901889622E-2</v>
      </c>
      <c r="I84" s="8">
        <f>Januari!M84</f>
        <v>0</v>
      </c>
      <c r="J84" s="11">
        <f>Januari!N84</f>
        <v>0</v>
      </c>
      <c r="K84" s="45">
        <f>K85</f>
        <v>0</v>
      </c>
      <c r="L84" s="108">
        <f>K84/G84*100</f>
        <v>0</v>
      </c>
      <c r="M84" s="8">
        <f>I84+K84</f>
        <v>0</v>
      </c>
      <c r="N84" s="12">
        <f>M84/G84*100</f>
        <v>0</v>
      </c>
      <c r="O84" s="13"/>
      <c r="P84" s="8">
        <f>G84-M84</f>
        <v>514072900</v>
      </c>
    </row>
    <row r="85" spans="1:16" s="3" customFormat="1" ht="40.5" customHeight="1">
      <c r="A85" s="14">
        <v>2</v>
      </c>
      <c r="B85" s="14">
        <v>8</v>
      </c>
      <c r="C85" s="14">
        <v>7</v>
      </c>
      <c r="D85" s="15" t="s">
        <v>8</v>
      </c>
      <c r="E85" s="14">
        <v>2</v>
      </c>
      <c r="F85" s="16" t="s">
        <v>82</v>
      </c>
      <c r="G85" s="17">
        <v>514072900</v>
      </c>
      <c r="H85" s="18">
        <f>+G85/$G$119*100%</f>
        <v>3.5876464901889622E-2</v>
      </c>
      <c r="I85" s="21">
        <f>Januari!M85</f>
        <v>0</v>
      </c>
      <c r="J85" s="190">
        <f>Januari!N85</f>
        <v>0</v>
      </c>
      <c r="K85" s="21">
        <v>0</v>
      </c>
      <c r="L85" s="20">
        <f>K85/G85*100</f>
        <v>0</v>
      </c>
      <c r="M85" s="30">
        <f>I85+K85</f>
        <v>0</v>
      </c>
      <c r="N85" s="29">
        <f>M85/G85*100</f>
        <v>0</v>
      </c>
      <c r="O85" s="22"/>
      <c r="P85" s="21">
        <f>G85-M85</f>
        <v>514072900</v>
      </c>
    </row>
    <row r="86" spans="1:16" s="106" customFormat="1" ht="48.75" customHeight="1">
      <c r="A86" s="5">
        <v>2</v>
      </c>
      <c r="B86" s="5">
        <v>8</v>
      </c>
      <c r="C86" s="5">
        <v>7</v>
      </c>
      <c r="D86" s="6" t="s">
        <v>14</v>
      </c>
      <c r="E86" s="5"/>
      <c r="F86" s="7" t="s">
        <v>13</v>
      </c>
      <c r="G86" s="45">
        <f>G87</f>
        <v>176870000</v>
      </c>
      <c r="H86" s="9">
        <f>+G86/$G$119*100%</f>
        <v>1.2343522382131438E-2</v>
      </c>
      <c r="I86" s="8">
        <f>Januari!M86</f>
        <v>0</v>
      </c>
      <c r="J86" s="11">
        <f>Januari!N86</f>
        <v>0</v>
      </c>
      <c r="K86" s="45">
        <f>K87</f>
        <v>0</v>
      </c>
      <c r="L86" s="108">
        <f>K86/G86*100</f>
        <v>0</v>
      </c>
      <c r="M86" s="8">
        <f>I86+K86</f>
        <v>0</v>
      </c>
      <c r="N86" s="12">
        <f>M86/G86*100</f>
        <v>0</v>
      </c>
      <c r="O86" s="13"/>
      <c r="P86" s="8">
        <f>G86-M86</f>
        <v>176870000</v>
      </c>
    </row>
    <row r="87" spans="1:16" s="3" customFormat="1" ht="40.5" customHeight="1">
      <c r="A87" s="14">
        <v>2</v>
      </c>
      <c r="B87" s="14">
        <v>8</v>
      </c>
      <c r="C87" s="14">
        <v>7</v>
      </c>
      <c r="D87" s="15" t="s">
        <v>14</v>
      </c>
      <c r="E87" s="14">
        <v>8</v>
      </c>
      <c r="F87" s="166" t="s">
        <v>126</v>
      </c>
      <c r="G87" s="17">
        <v>176870000</v>
      </c>
      <c r="H87" s="18">
        <f>+G87/$G$119*100%</f>
        <v>1.2343522382131438E-2</v>
      </c>
      <c r="I87" s="21">
        <f>Januari!M87</f>
        <v>0</v>
      </c>
      <c r="J87" s="190">
        <f>Januari!N87</f>
        <v>0</v>
      </c>
      <c r="K87" s="21">
        <v>0</v>
      </c>
      <c r="L87" s="20">
        <f>K87/G87*100</f>
        <v>0</v>
      </c>
      <c r="M87" s="30">
        <f>I87+K87</f>
        <v>0</v>
      </c>
      <c r="N87" s="29">
        <f>M87/G87*100</f>
        <v>0</v>
      </c>
      <c r="O87" s="22"/>
      <c r="P87" s="21">
        <f>G87-M87</f>
        <v>176870000</v>
      </c>
    </row>
    <row r="88" spans="1:16" s="146" customFormat="1" ht="35.25" customHeight="1">
      <c r="A88" s="130"/>
      <c r="B88" s="130"/>
      <c r="C88" s="130"/>
      <c r="D88" s="131"/>
      <c r="E88" s="130"/>
      <c r="F88" s="140" t="s">
        <v>106</v>
      </c>
      <c r="G88" s="144">
        <f>G89+G95+G98</f>
        <v>753381950</v>
      </c>
      <c r="H88" s="132"/>
      <c r="I88" s="138">
        <f>Januari!M88</f>
        <v>0</v>
      </c>
      <c r="J88" s="134">
        <f>Januari!N88</f>
        <v>0</v>
      </c>
      <c r="K88" s="136"/>
      <c r="L88" s="135"/>
      <c r="M88" s="138"/>
      <c r="N88" s="139"/>
      <c r="O88" s="143"/>
      <c r="P88" s="136"/>
    </row>
    <row r="89" spans="1:16" s="49" customFormat="1" ht="31.5" customHeight="1">
      <c r="A89" s="36">
        <v>2</v>
      </c>
      <c r="B89" s="36">
        <v>14</v>
      </c>
      <c r="C89" s="36">
        <v>2</v>
      </c>
      <c r="D89" s="37"/>
      <c r="E89" s="36"/>
      <c r="F89" s="38" t="s">
        <v>12</v>
      </c>
      <c r="G89" s="46">
        <f>G90+G93</f>
        <v>232558950</v>
      </c>
      <c r="H89" s="40">
        <f>+G89/$G$119*100%</f>
        <v>1.6229980236840538E-2</v>
      </c>
      <c r="I89" s="39">
        <f>Januari!M89</f>
        <v>0</v>
      </c>
      <c r="J89" s="42">
        <f>Januari!N89</f>
        <v>0</v>
      </c>
      <c r="K89" s="46">
        <f>K90</f>
        <v>0</v>
      </c>
      <c r="L89" s="109">
        <f>K89/G89*100</f>
        <v>0</v>
      </c>
      <c r="M89" s="39">
        <f>I89+K89</f>
        <v>0</v>
      </c>
      <c r="N89" s="43">
        <f>M89/G89*100</f>
        <v>0</v>
      </c>
      <c r="O89" s="44"/>
      <c r="P89" s="39">
        <f t="shared" ref="P89:P103" si="24">G89-M89</f>
        <v>232558950</v>
      </c>
    </row>
    <row r="90" spans="1:16" s="106" customFormat="1" ht="40.5" customHeight="1">
      <c r="A90" s="5">
        <v>2</v>
      </c>
      <c r="B90" s="5">
        <v>14</v>
      </c>
      <c r="C90" s="5">
        <v>2</v>
      </c>
      <c r="D90" s="6" t="s">
        <v>8</v>
      </c>
      <c r="E90" s="5"/>
      <c r="F90" s="7" t="s">
        <v>11</v>
      </c>
      <c r="G90" s="45">
        <f>G91+G92</f>
        <v>220558950</v>
      </c>
      <c r="H90" s="9">
        <f>+G90/$G$119*100%</f>
        <v>1.5392516175181822E-2</v>
      </c>
      <c r="I90" s="8">
        <f>Januari!M90</f>
        <v>0</v>
      </c>
      <c r="J90" s="11">
        <f>Januari!N90</f>
        <v>0</v>
      </c>
      <c r="K90" s="45">
        <f>K91</f>
        <v>0</v>
      </c>
      <c r="L90" s="108">
        <f>K90/G90*100</f>
        <v>0</v>
      </c>
      <c r="M90" s="8">
        <f>I90+K90</f>
        <v>0</v>
      </c>
      <c r="N90" s="12">
        <f>M90/G90*100</f>
        <v>0</v>
      </c>
      <c r="O90" s="13"/>
      <c r="P90" s="8">
        <f t="shared" si="24"/>
        <v>220558950</v>
      </c>
    </row>
    <row r="91" spans="1:16" s="3" customFormat="1" ht="25.5" customHeight="1">
      <c r="A91" s="14">
        <v>2</v>
      </c>
      <c r="B91" s="14">
        <v>14</v>
      </c>
      <c r="C91" s="14">
        <v>2</v>
      </c>
      <c r="D91" s="15" t="s">
        <v>8</v>
      </c>
      <c r="E91" s="14">
        <v>3</v>
      </c>
      <c r="F91" s="16" t="s">
        <v>89</v>
      </c>
      <c r="G91" s="17">
        <v>99423950</v>
      </c>
      <c r="H91" s="18">
        <f>+G91/$G$119*100%</f>
        <v>6.9386654160960995E-3</v>
      </c>
      <c r="I91" s="21">
        <f>Januari!M91</f>
        <v>0</v>
      </c>
      <c r="J91" s="190">
        <f>Januari!N91</f>
        <v>0</v>
      </c>
      <c r="K91" s="21">
        <v>0</v>
      </c>
      <c r="L91" s="20">
        <f>K91/G91*100</f>
        <v>0</v>
      </c>
      <c r="M91" s="30">
        <f>I91+K91</f>
        <v>0</v>
      </c>
      <c r="N91" s="29">
        <f>M91/G91*100</f>
        <v>0</v>
      </c>
      <c r="O91" s="22"/>
      <c r="P91" s="21">
        <f t="shared" si="24"/>
        <v>99423950</v>
      </c>
    </row>
    <row r="92" spans="1:16" s="3" customFormat="1" ht="47.25" customHeight="1">
      <c r="A92" s="14">
        <v>2</v>
      </c>
      <c r="B92" s="14">
        <v>14</v>
      </c>
      <c r="C92" s="14">
        <v>2</v>
      </c>
      <c r="D92" s="15" t="s">
        <v>8</v>
      </c>
      <c r="E92" s="14">
        <v>7</v>
      </c>
      <c r="F92" s="16" t="s">
        <v>154</v>
      </c>
      <c r="G92" s="17">
        <v>121135000</v>
      </c>
      <c r="H92" s="18">
        <f>+G92/$G$119*100%</f>
        <v>8.4538507590857237E-3</v>
      </c>
      <c r="I92" s="21">
        <f>Januari!M92</f>
        <v>0</v>
      </c>
      <c r="J92" s="190">
        <f>Januari!N92</f>
        <v>0</v>
      </c>
      <c r="K92" s="21"/>
      <c r="L92" s="20"/>
      <c r="M92" s="30"/>
      <c r="N92" s="29"/>
      <c r="O92" s="22"/>
      <c r="P92" s="21">
        <f t="shared" si="24"/>
        <v>121135000</v>
      </c>
    </row>
    <row r="93" spans="1:16" s="3" customFormat="1" ht="27" customHeight="1">
      <c r="A93" s="5">
        <v>2</v>
      </c>
      <c r="B93" s="5">
        <v>14</v>
      </c>
      <c r="C93" s="5">
        <v>2</v>
      </c>
      <c r="D93" s="6" t="s">
        <v>7</v>
      </c>
      <c r="E93" s="5"/>
      <c r="F93" s="7" t="s">
        <v>156</v>
      </c>
      <c r="G93" s="45">
        <f>G94</f>
        <v>12000000</v>
      </c>
      <c r="H93" s="9">
        <f t="shared" ref="H93:H103" si="25">+G93/$G$119*100%</f>
        <v>8.3746406165871698E-4</v>
      </c>
      <c r="I93" s="8">
        <f>Januari!M93</f>
        <v>0</v>
      </c>
      <c r="J93" s="11">
        <f>Januari!N93</f>
        <v>0</v>
      </c>
      <c r="K93" s="45">
        <f>K94</f>
        <v>0</v>
      </c>
      <c r="L93" s="108">
        <f>K93/G93*100</f>
        <v>0</v>
      </c>
      <c r="M93" s="8">
        <f>I93+K93</f>
        <v>0</v>
      </c>
      <c r="N93" s="12">
        <f>M93/G93*100</f>
        <v>0</v>
      </c>
      <c r="O93" s="13"/>
      <c r="P93" s="8">
        <f t="shared" si="24"/>
        <v>12000000</v>
      </c>
    </row>
    <row r="94" spans="1:16" s="3" customFormat="1" ht="29.25" customHeight="1">
      <c r="A94" s="14">
        <v>2</v>
      </c>
      <c r="B94" s="14">
        <v>14</v>
      </c>
      <c r="C94" s="14">
        <v>2</v>
      </c>
      <c r="D94" s="15" t="s">
        <v>7</v>
      </c>
      <c r="E94" s="14">
        <v>2</v>
      </c>
      <c r="F94" s="16" t="s">
        <v>155</v>
      </c>
      <c r="G94" s="17">
        <v>12000000</v>
      </c>
      <c r="H94" s="18">
        <f t="shared" si="25"/>
        <v>8.3746406165871698E-4</v>
      </c>
      <c r="I94" s="21">
        <f>Januari!M94</f>
        <v>0</v>
      </c>
      <c r="J94" s="190">
        <f>Januari!N94</f>
        <v>0</v>
      </c>
      <c r="K94" s="21">
        <v>0</v>
      </c>
      <c r="L94" s="20">
        <f>K94/G94*100</f>
        <v>0</v>
      </c>
      <c r="M94" s="30">
        <f>I94+K94</f>
        <v>0</v>
      </c>
      <c r="N94" s="29">
        <f>M94/G94*100</f>
        <v>0</v>
      </c>
      <c r="O94" s="22"/>
      <c r="P94" s="21">
        <f t="shared" si="24"/>
        <v>12000000</v>
      </c>
    </row>
    <row r="95" spans="1:16" s="49" customFormat="1" ht="26.25" customHeight="1">
      <c r="A95" s="36">
        <v>2</v>
      </c>
      <c r="B95" s="36">
        <v>14</v>
      </c>
      <c r="C95" s="36">
        <v>3</v>
      </c>
      <c r="D95" s="37"/>
      <c r="E95" s="36"/>
      <c r="F95" s="38" t="s">
        <v>10</v>
      </c>
      <c r="G95" s="46">
        <f>G96</f>
        <v>23923000</v>
      </c>
      <c r="H95" s="40">
        <f t="shared" si="25"/>
        <v>1.6695543955884571E-3</v>
      </c>
      <c r="I95" s="39">
        <f>Januari!M95</f>
        <v>0</v>
      </c>
      <c r="J95" s="42">
        <f>Januari!N95</f>
        <v>0</v>
      </c>
      <c r="K95" s="46">
        <f>K96</f>
        <v>0</v>
      </c>
      <c r="L95" s="109">
        <f t="shared" ref="L95:L103" si="26">K95/G95*100</f>
        <v>0</v>
      </c>
      <c r="M95" s="39">
        <f t="shared" ref="M95:M103" si="27">I95+K95</f>
        <v>0</v>
      </c>
      <c r="N95" s="43">
        <f t="shared" ref="N95:N103" si="28">M95/G95*100</f>
        <v>0</v>
      </c>
      <c r="O95" s="44"/>
      <c r="P95" s="39">
        <f t="shared" si="24"/>
        <v>23923000</v>
      </c>
    </row>
    <row r="96" spans="1:16" s="106" customFormat="1" ht="42.75" customHeight="1">
      <c r="A96" s="5">
        <v>2</v>
      </c>
      <c r="B96" s="5">
        <v>14</v>
      </c>
      <c r="C96" s="5">
        <v>3</v>
      </c>
      <c r="D96" s="6" t="s">
        <v>7</v>
      </c>
      <c r="E96" s="5"/>
      <c r="F96" s="167" t="s">
        <v>128</v>
      </c>
      <c r="G96" s="45">
        <f>G97</f>
        <v>23923000</v>
      </c>
      <c r="H96" s="9">
        <f t="shared" si="25"/>
        <v>1.6695543955884571E-3</v>
      </c>
      <c r="I96" s="8">
        <f>Januari!M96</f>
        <v>0</v>
      </c>
      <c r="J96" s="11">
        <f>Januari!N96</f>
        <v>0</v>
      </c>
      <c r="K96" s="45">
        <f>K97</f>
        <v>0</v>
      </c>
      <c r="L96" s="108">
        <f t="shared" si="26"/>
        <v>0</v>
      </c>
      <c r="M96" s="8">
        <f t="shared" si="27"/>
        <v>0</v>
      </c>
      <c r="N96" s="12">
        <f t="shared" si="28"/>
        <v>0</v>
      </c>
      <c r="O96" s="13"/>
      <c r="P96" s="8">
        <f t="shared" si="24"/>
        <v>23923000</v>
      </c>
    </row>
    <row r="97" spans="1:16" s="3" customFormat="1" ht="38.25" customHeight="1">
      <c r="A97" s="14">
        <v>2</v>
      </c>
      <c r="B97" s="14">
        <v>14</v>
      </c>
      <c r="C97" s="14">
        <v>3</v>
      </c>
      <c r="D97" s="15" t="s">
        <v>7</v>
      </c>
      <c r="E97" s="14">
        <v>2</v>
      </c>
      <c r="F97" s="166" t="s">
        <v>157</v>
      </c>
      <c r="G97" s="17">
        <v>23923000</v>
      </c>
      <c r="H97" s="18">
        <f t="shared" si="25"/>
        <v>1.6695543955884571E-3</v>
      </c>
      <c r="I97" s="21">
        <f>Januari!M97</f>
        <v>0</v>
      </c>
      <c r="J97" s="190">
        <f>Januari!N97</f>
        <v>0</v>
      </c>
      <c r="K97" s="21">
        <v>0</v>
      </c>
      <c r="L97" s="20">
        <f t="shared" si="26"/>
        <v>0</v>
      </c>
      <c r="M97" s="30">
        <f t="shared" si="27"/>
        <v>0</v>
      </c>
      <c r="N97" s="29">
        <f t="shared" si="28"/>
        <v>0</v>
      </c>
      <c r="O97" s="22"/>
      <c r="P97" s="21">
        <f t="shared" si="24"/>
        <v>23923000</v>
      </c>
    </row>
    <row r="98" spans="1:16" s="49" customFormat="1" ht="26.25" customHeight="1">
      <c r="A98" s="36">
        <v>2</v>
      </c>
      <c r="B98" s="36">
        <v>14</v>
      </c>
      <c r="C98" s="36">
        <v>4</v>
      </c>
      <c r="D98" s="37"/>
      <c r="E98" s="36"/>
      <c r="F98" s="38" t="s">
        <v>9</v>
      </c>
      <c r="G98" s="46">
        <f>G99+G102</f>
        <v>496900000</v>
      </c>
      <c r="H98" s="40">
        <f t="shared" si="25"/>
        <v>3.4677991019851369E-2</v>
      </c>
      <c r="I98" s="39">
        <f>Januari!M98</f>
        <v>0</v>
      </c>
      <c r="J98" s="42">
        <f>Januari!N98</f>
        <v>0</v>
      </c>
      <c r="K98" s="46">
        <f>K99+K102</f>
        <v>0</v>
      </c>
      <c r="L98" s="109">
        <f t="shared" si="26"/>
        <v>0</v>
      </c>
      <c r="M98" s="39">
        <f t="shared" si="27"/>
        <v>0</v>
      </c>
      <c r="N98" s="43">
        <f t="shared" si="28"/>
        <v>0</v>
      </c>
      <c r="O98" s="48"/>
      <c r="P98" s="39">
        <f t="shared" si="24"/>
        <v>496900000</v>
      </c>
    </row>
    <row r="99" spans="1:16" s="106" customFormat="1" ht="40.5" customHeight="1">
      <c r="A99" s="5">
        <v>2</v>
      </c>
      <c r="B99" s="5">
        <v>14</v>
      </c>
      <c r="C99" s="5">
        <v>4</v>
      </c>
      <c r="D99" s="6" t="s">
        <v>8</v>
      </c>
      <c r="E99" s="5"/>
      <c r="F99" s="7" t="s">
        <v>90</v>
      </c>
      <c r="G99" s="45">
        <f>G100+G101</f>
        <v>469750000</v>
      </c>
      <c r="H99" s="9">
        <f t="shared" si="25"/>
        <v>3.2783228580348524E-2</v>
      </c>
      <c r="I99" s="8">
        <f>Januari!M99</f>
        <v>0</v>
      </c>
      <c r="J99" s="11">
        <f>Januari!N99</f>
        <v>0</v>
      </c>
      <c r="K99" s="45">
        <f>K100</f>
        <v>0</v>
      </c>
      <c r="L99" s="108">
        <f t="shared" si="26"/>
        <v>0</v>
      </c>
      <c r="M99" s="8">
        <f t="shared" si="27"/>
        <v>0</v>
      </c>
      <c r="N99" s="12">
        <f t="shared" si="28"/>
        <v>0</v>
      </c>
      <c r="O99" s="27"/>
      <c r="P99" s="8">
        <f t="shared" si="24"/>
        <v>469750000</v>
      </c>
    </row>
    <row r="100" spans="1:16" s="3" customFormat="1" ht="35.25" customHeight="1">
      <c r="A100" s="14">
        <v>2</v>
      </c>
      <c r="B100" s="14">
        <v>14</v>
      </c>
      <c r="C100" s="14">
        <v>4</v>
      </c>
      <c r="D100" s="15" t="s">
        <v>8</v>
      </c>
      <c r="E100" s="14">
        <v>17</v>
      </c>
      <c r="F100" s="166" t="s">
        <v>129</v>
      </c>
      <c r="G100" s="17">
        <v>316150000</v>
      </c>
      <c r="H100" s="18">
        <f t="shared" si="25"/>
        <v>2.2063688591116948E-2</v>
      </c>
      <c r="I100" s="21">
        <f>Januari!M100</f>
        <v>0</v>
      </c>
      <c r="J100" s="190">
        <f>Januari!N100</f>
        <v>0</v>
      </c>
      <c r="K100" s="21">
        <v>0</v>
      </c>
      <c r="L100" s="20">
        <f t="shared" si="26"/>
        <v>0</v>
      </c>
      <c r="M100" s="30">
        <f t="shared" si="27"/>
        <v>0</v>
      </c>
      <c r="N100" s="29">
        <f t="shared" si="28"/>
        <v>0</v>
      </c>
      <c r="O100" s="23"/>
      <c r="P100" s="21">
        <f t="shared" si="24"/>
        <v>316150000</v>
      </c>
    </row>
    <row r="101" spans="1:16" s="3" customFormat="1" ht="28.5" customHeight="1">
      <c r="A101" s="14">
        <v>2</v>
      </c>
      <c r="B101" s="14">
        <v>14</v>
      </c>
      <c r="C101" s="14">
        <v>4</v>
      </c>
      <c r="D101" s="15" t="s">
        <v>8</v>
      </c>
      <c r="E101" s="14">
        <v>19</v>
      </c>
      <c r="F101" s="166" t="s">
        <v>158</v>
      </c>
      <c r="G101" s="17">
        <v>153600000</v>
      </c>
      <c r="H101" s="18">
        <f t="shared" si="25"/>
        <v>1.0719539989231577E-2</v>
      </c>
      <c r="I101" s="21">
        <f>Januari!M101</f>
        <v>0</v>
      </c>
      <c r="J101" s="190">
        <f>Januari!N101</f>
        <v>0</v>
      </c>
      <c r="K101" s="21"/>
      <c r="L101" s="20"/>
      <c r="M101" s="30"/>
      <c r="N101" s="29"/>
      <c r="O101" s="23"/>
      <c r="P101" s="21"/>
    </row>
    <row r="102" spans="1:16" s="106" customFormat="1" ht="47.25" customHeight="1">
      <c r="A102" s="5">
        <v>2</v>
      </c>
      <c r="B102" s="5">
        <v>14</v>
      </c>
      <c r="C102" s="5">
        <v>4</v>
      </c>
      <c r="D102" s="6" t="s">
        <v>7</v>
      </c>
      <c r="E102" s="5"/>
      <c r="F102" s="7" t="s">
        <v>6</v>
      </c>
      <c r="G102" s="26">
        <f>G103</f>
        <v>27150000</v>
      </c>
      <c r="H102" s="9">
        <f t="shared" si="25"/>
        <v>1.8947624395028472E-3</v>
      </c>
      <c r="I102" s="8">
        <f>Januari!M102</f>
        <v>0</v>
      </c>
      <c r="J102" s="11">
        <f>Januari!N102</f>
        <v>0</v>
      </c>
      <c r="K102" s="26">
        <f>K103</f>
        <v>0</v>
      </c>
      <c r="L102" s="108">
        <f t="shared" si="26"/>
        <v>0</v>
      </c>
      <c r="M102" s="8">
        <f t="shared" si="27"/>
        <v>0</v>
      </c>
      <c r="N102" s="12">
        <f t="shared" si="28"/>
        <v>0</v>
      </c>
      <c r="O102" s="27"/>
      <c r="P102" s="8">
        <f t="shared" si="24"/>
        <v>27150000</v>
      </c>
    </row>
    <row r="103" spans="1:16" s="3" customFormat="1" ht="60.75" customHeight="1">
      <c r="A103" s="14">
        <v>2</v>
      </c>
      <c r="B103" s="14">
        <v>14</v>
      </c>
      <c r="C103" s="14">
        <v>4</v>
      </c>
      <c r="D103" s="15" t="s">
        <v>7</v>
      </c>
      <c r="E103" s="14">
        <v>8</v>
      </c>
      <c r="F103" s="166" t="s">
        <v>130</v>
      </c>
      <c r="G103" s="25">
        <v>27150000</v>
      </c>
      <c r="H103" s="18">
        <f t="shared" si="25"/>
        <v>1.8947624395028472E-3</v>
      </c>
      <c r="I103" s="21">
        <f>Januari!M103</f>
        <v>0</v>
      </c>
      <c r="J103" s="190">
        <f>Januari!N103</f>
        <v>0</v>
      </c>
      <c r="K103" s="21">
        <v>0</v>
      </c>
      <c r="L103" s="20">
        <f t="shared" si="26"/>
        <v>0</v>
      </c>
      <c r="M103" s="30">
        <f t="shared" si="27"/>
        <v>0</v>
      </c>
      <c r="N103" s="29">
        <f t="shared" si="28"/>
        <v>0</v>
      </c>
      <c r="O103" s="23"/>
      <c r="P103" s="21">
        <f t="shared" si="24"/>
        <v>27150000</v>
      </c>
    </row>
    <row r="104" spans="1:16" s="3" customFormat="1" ht="31.5" customHeight="1">
      <c r="A104" s="130"/>
      <c r="B104" s="130"/>
      <c r="C104" s="130"/>
      <c r="D104" s="131"/>
      <c r="E104" s="130"/>
      <c r="F104" s="141" t="s">
        <v>101</v>
      </c>
      <c r="G104" s="142">
        <f>G105+G113+G116</f>
        <v>2677601700</v>
      </c>
      <c r="H104" s="132"/>
      <c r="I104" s="138">
        <f>Januari!M104</f>
        <v>0</v>
      </c>
      <c r="J104" s="134">
        <f>Januari!N104</f>
        <v>0</v>
      </c>
      <c r="K104" s="136"/>
      <c r="L104" s="135"/>
      <c r="M104" s="138"/>
      <c r="N104" s="139"/>
      <c r="O104" s="137"/>
      <c r="P104" s="136"/>
    </row>
    <row r="105" spans="1:16" s="49" customFormat="1" ht="27.75" customHeight="1">
      <c r="A105" s="36">
        <v>2</v>
      </c>
      <c r="B105" s="36">
        <v>8</v>
      </c>
      <c r="C105" s="36">
        <v>1</v>
      </c>
      <c r="D105" s="37"/>
      <c r="E105" s="36"/>
      <c r="F105" s="38" t="s">
        <v>5</v>
      </c>
      <c r="G105" s="46">
        <f>G106+G110</f>
        <v>317209700</v>
      </c>
      <c r="H105" s="40">
        <f>+G105/$G$119*100%</f>
        <v>2.2137643646628593E-2</v>
      </c>
      <c r="I105" s="39">
        <f>Januari!M105</f>
        <v>23521500</v>
      </c>
      <c r="J105" s="42">
        <f>Januari!N105</f>
        <v>7.4151263344090683</v>
      </c>
      <c r="K105" s="46">
        <f>K106+K110</f>
        <v>23400000</v>
      </c>
      <c r="L105" s="43">
        <f>K105/G105*100</f>
        <v>7.376823596504142</v>
      </c>
      <c r="M105" s="39">
        <f>I105+K105</f>
        <v>46921500</v>
      </c>
      <c r="N105" s="43">
        <f>M105/G105*100</f>
        <v>14.791949930913209</v>
      </c>
      <c r="O105" s="44"/>
      <c r="P105" s="39">
        <f t="shared" ref="P105:P118" si="29">G105-M105</f>
        <v>270288200</v>
      </c>
    </row>
    <row r="106" spans="1:16" s="106" customFormat="1" ht="27.75" customHeight="1">
      <c r="A106" s="5">
        <v>2</v>
      </c>
      <c r="B106" s="5">
        <v>8</v>
      </c>
      <c r="C106" s="5">
        <v>1</v>
      </c>
      <c r="D106" s="6" t="s">
        <v>24</v>
      </c>
      <c r="E106" s="5"/>
      <c r="F106" s="7" t="s">
        <v>4</v>
      </c>
      <c r="G106" s="45">
        <f>SUM(G107:G109)</f>
        <v>11797700</v>
      </c>
      <c r="H106" s="9">
        <f>+G106/$G$119*100%</f>
        <v>8.2334581335258706E-4</v>
      </c>
      <c r="I106" s="8">
        <f>Januari!M106</f>
        <v>0</v>
      </c>
      <c r="J106" s="11">
        <f>Januari!N106</f>
        <v>0</v>
      </c>
      <c r="K106" s="45">
        <f>K108+K109</f>
        <v>0</v>
      </c>
      <c r="L106" s="108">
        <f>K106/G106*100</f>
        <v>0</v>
      </c>
      <c r="M106" s="8">
        <f>I106+K106</f>
        <v>0</v>
      </c>
      <c r="N106" s="12">
        <f>M106/G106*100</f>
        <v>0</v>
      </c>
      <c r="O106" s="27"/>
      <c r="P106" s="8">
        <f t="shared" si="29"/>
        <v>11797700</v>
      </c>
    </row>
    <row r="107" spans="1:16" s="106" customFormat="1" ht="27.75" customHeight="1">
      <c r="A107" s="14">
        <v>2</v>
      </c>
      <c r="B107" s="14">
        <v>8</v>
      </c>
      <c r="C107" s="14">
        <v>1</v>
      </c>
      <c r="D107" s="15" t="s">
        <v>24</v>
      </c>
      <c r="E107" s="14">
        <v>1</v>
      </c>
      <c r="F107" s="16" t="s">
        <v>60</v>
      </c>
      <c r="G107" s="17">
        <v>1706000</v>
      </c>
      <c r="H107" s="18">
        <f>+G107/$G$119*100%</f>
        <v>1.1905947409914759E-4</v>
      </c>
      <c r="I107" s="21">
        <f>Januari!M107</f>
        <v>0</v>
      </c>
      <c r="J107" s="190">
        <f>Januari!N107</f>
        <v>0</v>
      </c>
      <c r="K107" s="21">
        <v>0</v>
      </c>
      <c r="L107" s="20">
        <f>K107/G107*100</f>
        <v>0</v>
      </c>
      <c r="M107" s="30">
        <f>I107+K107</f>
        <v>0</v>
      </c>
      <c r="N107" s="29">
        <f>M107/G107*100</f>
        <v>0</v>
      </c>
      <c r="O107" s="23"/>
      <c r="P107" s="21">
        <f t="shared" si="29"/>
        <v>1706000</v>
      </c>
    </row>
    <row r="108" spans="1:16" s="3" customFormat="1" ht="27.75" customHeight="1">
      <c r="A108" s="14">
        <v>2</v>
      </c>
      <c r="B108" s="14">
        <v>8</v>
      </c>
      <c r="C108" s="14">
        <v>1</v>
      </c>
      <c r="D108" s="15" t="s">
        <v>24</v>
      </c>
      <c r="E108" s="14">
        <v>2</v>
      </c>
      <c r="F108" s="16" t="s">
        <v>61</v>
      </c>
      <c r="G108" s="17">
        <v>8794500</v>
      </c>
      <c r="H108" s="18">
        <f>+G108/$G$119*100%</f>
        <v>6.1375647418813225E-4</v>
      </c>
      <c r="I108" s="21">
        <f>Januari!M108</f>
        <v>0</v>
      </c>
      <c r="J108" s="190">
        <f>Januari!N108</f>
        <v>0</v>
      </c>
      <c r="K108" s="21">
        <v>0</v>
      </c>
      <c r="L108" s="20">
        <f>K108/G108*100</f>
        <v>0</v>
      </c>
      <c r="M108" s="30">
        <f>I108+K108</f>
        <v>0</v>
      </c>
      <c r="N108" s="29">
        <f>M108/G108*100</f>
        <v>0</v>
      </c>
      <c r="O108" s="23"/>
      <c r="P108" s="21">
        <f t="shared" si="29"/>
        <v>8794500</v>
      </c>
    </row>
    <row r="109" spans="1:16" s="3" customFormat="1" ht="27.75" customHeight="1">
      <c r="A109" s="14">
        <v>2</v>
      </c>
      <c r="B109" s="14">
        <v>8</v>
      </c>
      <c r="C109" s="14">
        <v>1</v>
      </c>
      <c r="D109" s="15" t="s">
        <v>24</v>
      </c>
      <c r="E109" s="14">
        <v>5</v>
      </c>
      <c r="F109" s="16" t="s">
        <v>62</v>
      </c>
      <c r="G109" s="17">
        <v>1297200</v>
      </c>
      <c r="H109" s="18">
        <f>+G109/$G$119*100%</f>
        <v>9.0529865065307311E-5</v>
      </c>
      <c r="I109" s="21">
        <f>Januari!M109</f>
        <v>0</v>
      </c>
      <c r="J109" s="190">
        <f>Januari!N109</f>
        <v>0</v>
      </c>
      <c r="K109" s="21"/>
      <c r="L109" s="20"/>
      <c r="M109" s="30"/>
      <c r="N109" s="29"/>
      <c r="O109" s="23"/>
      <c r="P109" s="21">
        <f t="shared" si="29"/>
        <v>1297200</v>
      </c>
    </row>
    <row r="110" spans="1:16" s="106" customFormat="1" ht="27.75" customHeight="1">
      <c r="A110" s="5">
        <v>2</v>
      </c>
      <c r="B110" s="5">
        <v>8</v>
      </c>
      <c r="C110" s="5">
        <v>1</v>
      </c>
      <c r="D110" s="6" t="s">
        <v>23</v>
      </c>
      <c r="E110" s="5"/>
      <c r="F110" s="7" t="s">
        <v>3</v>
      </c>
      <c r="G110" s="45">
        <f>G111+G112</f>
        <v>305412000</v>
      </c>
      <c r="H110" s="9">
        <f t="shared" ref="H110:H119" si="30">+G110/$G$119*100%</f>
        <v>2.1314297833276007E-2</v>
      </c>
      <c r="I110" s="8">
        <f>Januari!M110</f>
        <v>23521500</v>
      </c>
      <c r="J110" s="11">
        <f>Januari!N110</f>
        <v>7.7015637892420736</v>
      </c>
      <c r="K110" s="45">
        <f>K111+K112</f>
        <v>23400000</v>
      </c>
      <c r="L110" s="12">
        <f t="shared" ref="L110:L119" si="31">K110/G110*100</f>
        <v>7.6617814624179799</v>
      </c>
      <c r="M110" s="8">
        <f t="shared" ref="M110:M118" si="32">I110+K110</f>
        <v>46921500</v>
      </c>
      <c r="N110" s="12">
        <f t="shared" ref="N110:N119" si="33">M110/G110*100</f>
        <v>15.363345251660052</v>
      </c>
      <c r="O110" s="13"/>
      <c r="P110" s="8">
        <f t="shared" si="29"/>
        <v>258490500</v>
      </c>
    </row>
    <row r="111" spans="1:16" s="3" customFormat="1" ht="27.75" customHeight="1">
      <c r="A111" s="14">
        <v>2</v>
      </c>
      <c r="B111" s="14">
        <v>8</v>
      </c>
      <c r="C111" s="14">
        <v>1</v>
      </c>
      <c r="D111" s="15" t="s">
        <v>23</v>
      </c>
      <c r="E111" s="14">
        <v>2</v>
      </c>
      <c r="F111" s="16" t="s">
        <v>87</v>
      </c>
      <c r="G111" s="17">
        <v>22020000</v>
      </c>
      <c r="H111" s="18">
        <f t="shared" si="30"/>
        <v>1.5367465531437457E-3</v>
      </c>
      <c r="I111" s="21">
        <f>Januari!M111</f>
        <v>0</v>
      </c>
      <c r="J111" s="190">
        <f>Januari!N111</f>
        <v>0</v>
      </c>
      <c r="K111" s="24">
        <v>0</v>
      </c>
      <c r="L111" s="20">
        <f t="shared" si="31"/>
        <v>0</v>
      </c>
      <c r="M111" s="30">
        <f t="shared" si="32"/>
        <v>0</v>
      </c>
      <c r="N111" s="29">
        <f t="shared" si="33"/>
        <v>0</v>
      </c>
      <c r="O111" s="22"/>
      <c r="P111" s="21">
        <f t="shared" si="29"/>
        <v>22020000</v>
      </c>
    </row>
    <row r="112" spans="1:16" s="3" customFormat="1" ht="27.75" customHeight="1">
      <c r="A112" s="14">
        <v>2</v>
      </c>
      <c r="B112" s="14">
        <v>8</v>
      </c>
      <c r="C112" s="14">
        <v>1</v>
      </c>
      <c r="D112" s="15" t="s">
        <v>23</v>
      </c>
      <c r="E112" s="14">
        <v>4</v>
      </c>
      <c r="F112" s="16" t="s">
        <v>68</v>
      </c>
      <c r="G112" s="17">
        <v>283392000</v>
      </c>
      <c r="H112" s="18">
        <f t="shared" si="30"/>
        <v>1.9777551280132259E-2</v>
      </c>
      <c r="I112" s="21">
        <f>Januari!M112</f>
        <v>23521500</v>
      </c>
      <c r="J112" s="190">
        <f>Januari!N112</f>
        <v>8.2999872967479664</v>
      </c>
      <c r="K112" s="21">
        <f>23400000</f>
        <v>23400000</v>
      </c>
      <c r="L112" s="20">
        <f t="shared" si="31"/>
        <v>8.2571138211382102</v>
      </c>
      <c r="M112" s="21">
        <f t="shared" si="32"/>
        <v>46921500</v>
      </c>
      <c r="N112" s="20">
        <f t="shared" si="33"/>
        <v>16.557101117886177</v>
      </c>
      <c r="O112" s="22"/>
      <c r="P112" s="21">
        <f t="shared" si="29"/>
        <v>236470500</v>
      </c>
    </row>
    <row r="113" spans="1:16" s="49" customFormat="1" ht="27.75" customHeight="1">
      <c r="A113" s="36">
        <v>2</v>
      </c>
      <c r="B113" s="36">
        <v>8</v>
      </c>
      <c r="C113" s="36">
        <v>3</v>
      </c>
      <c r="D113" s="37"/>
      <c r="E113" s="36"/>
      <c r="F113" s="38" t="s">
        <v>91</v>
      </c>
      <c r="G113" s="46">
        <f>G114</f>
        <v>2177844000</v>
      </c>
      <c r="H113" s="40">
        <f t="shared" si="30"/>
        <v>0.15198884015825556</v>
      </c>
      <c r="I113" s="39">
        <f>Januari!M113</f>
        <v>0</v>
      </c>
      <c r="J113" s="42">
        <f>Januari!N113</f>
        <v>0</v>
      </c>
      <c r="K113" s="46">
        <f>K114</f>
        <v>0</v>
      </c>
      <c r="L113" s="109">
        <f t="shared" si="31"/>
        <v>0</v>
      </c>
      <c r="M113" s="39">
        <f t="shared" si="32"/>
        <v>0</v>
      </c>
      <c r="N113" s="43">
        <f t="shared" si="33"/>
        <v>0</v>
      </c>
      <c r="O113" s="44"/>
      <c r="P113" s="39">
        <f t="shared" si="29"/>
        <v>2177844000</v>
      </c>
    </row>
    <row r="114" spans="1:16" s="106" customFormat="1" ht="40.5" customHeight="1">
      <c r="A114" s="5">
        <v>2</v>
      </c>
      <c r="B114" s="5">
        <v>8</v>
      </c>
      <c r="C114" s="5">
        <v>3</v>
      </c>
      <c r="D114" s="6" t="s">
        <v>7</v>
      </c>
      <c r="E114" s="5"/>
      <c r="F114" s="7" t="s">
        <v>47</v>
      </c>
      <c r="G114" s="45">
        <f>G115</f>
        <v>2177844000</v>
      </c>
      <c r="H114" s="9">
        <f t="shared" si="30"/>
        <v>0.15198884015825556</v>
      </c>
      <c r="I114" s="8">
        <f>Januari!M114</f>
        <v>0</v>
      </c>
      <c r="J114" s="11">
        <f>Januari!N114</f>
        <v>0</v>
      </c>
      <c r="K114" s="45">
        <f>K115</f>
        <v>0</v>
      </c>
      <c r="L114" s="108">
        <f t="shared" si="31"/>
        <v>0</v>
      </c>
      <c r="M114" s="8">
        <f t="shared" si="32"/>
        <v>0</v>
      </c>
      <c r="N114" s="12">
        <f t="shared" si="33"/>
        <v>0</v>
      </c>
      <c r="O114" s="13"/>
      <c r="P114" s="8">
        <f t="shared" si="29"/>
        <v>2177844000</v>
      </c>
    </row>
    <row r="115" spans="1:16" s="3" customFormat="1" ht="36" customHeight="1">
      <c r="A115" s="14">
        <v>2</v>
      </c>
      <c r="B115" s="14">
        <v>8</v>
      </c>
      <c r="C115" s="14">
        <v>3</v>
      </c>
      <c r="D115" s="15" t="s">
        <v>7</v>
      </c>
      <c r="E115" s="14">
        <v>2</v>
      </c>
      <c r="F115" s="16" t="s">
        <v>74</v>
      </c>
      <c r="G115" s="17">
        <v>2177844000</v>
      </c>
      <c r="H115" s="18">
        <f t="shared" si="30"/>
        <v>0.15198884015825556</v>
      </c>
      <c r="I115" s="21">
        <f>Januari!M115</f>
        <v>0</v>
      </c>
      <c r="J115" s="190">
        <f>Januari!N115</f>
        <v>0</v>
      </c>
      <c r="K115" s="21">
        <v>0</v>
      </c>
      <c r="L115" s="20">
        <f t="shared" si="31"/>
        <v>0</v>
      </c>
      <c r="M115" s="30">
        <f t="shared" si="32"/>
        <v>0</v>
      </c>
      <c r="N115" s="29">
        <f t="shared" si="33"/>
        <v>0</v>
      </c>
      <c r="O115" s="22"/>
      <c r="P115" s="21">
        <f t="shared" si="29"/>
        <v>2177844000</v>
      </c>
    </row>
    <row r="116" spans="1:16" s="49" customFormat="1" ht="26.25" customHeight="1">
      <c r="A116" s="36">
        <v>2</v>
      </c>
      <c r="B116" s="36">
        <v>8</v>
      </c>
      <c r="C116" s="36">
        <v>7</v>
      </c>
      <c r="D116" s="37"/>
      <c r="E116" s="36"/>
      <c r="F116" s="38" t="s">
        <v>92</v>
      </c>
      <c r="G116" s="46">
        <f>G117</f>
        <v>182548000</v>
      </c>
      <c r="H116" s="40">
        <f t="shared" si="30"/>
        <v>1.2739782460639622E-2</v>
      </c>
      <c r="I116" s="39">
        <f>Januari!M116</f>
        <v>0</v>
      </c>
      <c r="J116" s="42">
        <f>Januari!N116</f>
        <v>0</v>
      </c>
      <c r="K116" s="46">
        <f>K117</f>
        <v>0</v>
      </c>
      <c r="L116" s="109">
        <f t="shared" si="31"/>
        <v>0</v>
      </c>
      <c r="M116" s="39">
        <f t="shared" si="32"/>
        <v>0</v>
      </c>
      <c r="N116" s="43">
        <f t="shared" si="33"/>
        <v>0</v>
      </c>
      <c r="O116" s="44"/>
      <c r="P116" s="39">
        <f t="shared" si="29"/>
        <v>182548000</v>
      </c>
    </row>
    <row r="117" spans="1:16" s="106" customFormat="1" ht="40.5" customHeight="1">
      <c r="A117" s="5">
        <v>2</v>
      </c>
      <c r="B117" s="5">
        <v>8</v>
      </c>
      <c r="C117" s="5">
        <v>7</v>
      </c>
      <c r="D117" s="6" t="s">
        <v>7</v>
      </c>
      <c r="E117" s="5"/>
      <c r="F117" s="7" t="s">
        <v>1</v>
      </c>
      <c r="G117" s="45">
        <f>G118</f>
        <v>182548000</v>
      </c>
      <c r="H117" s="9">
        <f t="shared" si="30"/>
        <v>1.2739782460639622E-2</v>
      </c>
      <c r="I117" s="8">
        <f>Januari!M117</f>
        <v>0</v>
      </c>
      <c r="J117" s="11">
        <f>Januari!N117</f>
        <v>0</v>
      </c>
      <c r="K117" s="45">
        <f>K118</f>
        <v>0</v>
      </c>
      <c r="L117" s="108">
        <f t="shared" si="31"/>
        <v>0</v>
      </c>
      <c r="M117" s="8">
        <f t="shared" si="32"/>
        <v>0</v>
      </c>
      <c r="N117" s="12">
        <f t="shared" si="33"/>
        <v>0</v>
      </c>
      <c r="O117" s="13"/>
      <c r="P117" s="8">
        <f t="shared" si="29"/>
        <v>182548000</v>
      </c>
    </row>
    <row r="118" spans="1:16" s="3" customFormat="1" ht="30" customHeight="1">
      <c r="A118" s="14">
        <v>2</v>
      </c>
      <c r="B118" s="14">
        <v>8</v>
      </c>
      <c r="C118" s="14">
        <v>7</v>
      </c>
      <c r="D118" s="15" t="s">
        <v>7</v>
      </c>
      <c r="E118" s="14">
        <v>7</v>
      </c>
      <c r="F118" s="166" t="s">
        <v>127</v>
      </c>
      <c r="G118" s="17">
        <v>182548000</v>
      </c>
      <c r="H118" s="18">
        <f t="shared" si="30"/>
        <v>1.2739782460639622E-2</v>
      </c>
      <c r="I118" s="21">
        <f>Januari!M118</f>
        <v>0</v>
      </c>
      <c r="J118" s="190">
        <f>Januari!N118</f>
        <v>0</v>
      </c>
      <c r="K118" s="21">
        <v>0</v>
      </c>
      <c r="L118" s="20">
        <f t="shared" si="31"/>
        <v>0</v>
      </c>
      <c r="M118" s="30">
        <f t="shared" si="32"/>
        <v>0</v>
      </c>
      <c r="N118" s="29">
        <f t="shared" si="33"/>
        <v>0</v>
      </c>
      <c r="O118" s="22"/>
      <c r="P118" s="21">
        <f t="shared" si="29"/>
        <v>182548000</v>
      </c>
    </row>
    <row r="119" spans="1:16" s="58" customFormat="1" ht="22.5" customHeight="1">
      <c r="A119" s="50"/>
      <c r="B119" s="50"/>
      <c r="C119" s="50"/>
      <c r="D119" s="51"/>
      <c r="E119" s="52"/>
      <c r="F119" s="53" t="s">
        <v>48</v>
      </c>
      <c r="G119" s="54">
        <f>G16+G55+G61+G67+G72+G76+G83+G89+G95+G98+G105+G113+G116</f>
        <v>14328973086</v>
      </c>
      <c r="H119" s="114">
        <f t="shared" si="30"/>
        <v>1</v>
      </c>
      <c r="I119" s="116">
        <f>Januari!M119</f>
        <v>326353300</v>
      </c>
      <c r="J119" s="55">
        <f>Januari!N119</f>
        <v>2.2775763346143814</v>
      </c>
      <c r="K119" s="54">
        <f>K16+K55+K61+K67+K72+K76+K83+K89+K95+K98+K105+K113+K116</f>
        <v>337287932</v>
      </c>
      <c r="L119" s="56">
        <f t="shared" si="31"/>
        <v>2.3538876790099095</v>
      </c>
      <c r="M119" s="54">
        <f>M16+M55+M61+M67+M72+M76+M83+M89+M95+M98+M105+M113+M116</f>
        <v>663641232</v>
      </c>
      <c r="N119" s="56">
        <f t="shared" si="33"/>
        <v>4.6314640136242913</v>
      </c>
      <c r="O119" s="57"/>
      <c r="P119" s="116">
        <f>G119-M119</f>
        <v>13665331854</v>
      </c>
    </row>
    <row r="120" spans="1:16" s="4" customFormat="1" ht="18" customHeight="1">
      <c r="A120" s="118"/>
      <c r="B120" s="118"/>
      <c r="C120" s="118"/>
      <c r="D120" s="119"/>
      <c r="E120" s="120"/>
      <c r="F120" s="33" t="s">
        <v>95</v>
      </c>
      <c r="G120" s="128">
        <f>G16</f>
        <v>8750419236</v>
      </c>
      <c r="H120" s="122"/>
      <c r="I120" s="121"/>
      <c r="J120" s="123"/>
      <c r="K120" s="121"/>
      <c r="L120" s="124"/>
      <c r="M120" s="126"/>
      <c r="N120" s="124"/>
      <c r="O120" s="125"/>
      <c r="P120" s="126"/>
    </row>
    <row r="121" spans="1:16" s="4" customFormat="1" ht="15.75" customHeight="1">
      <c r="A121" s="118"/>
      <c r="B121" s="118"/>
      <c r="C121" s="118"/>
      <c r="D121" s="119"/>
      <c r="E121" s="120"/>
      <c r="F121" s="33" t="s">
        <v>96</v>
      </c>
      <c r="G121" s="128">
        <f>G76</f>
        <v>429820700</v>
      </c>
      <c r="H121" s="187"/>
      <c r="I121" s="188"/>
      <c r="J121" s="189"/>
      <c r="K121" s="121"/>
      <c r="L121" s="124"/>
      <c r="M121" s="126"/>
      <c r="N121" s="124"/>
      <c r="O121" s="125"/>
      <c r="P121" s="126"/>
    </row>
    <row r="122" spans="1:16" s="3" customFormat="1">
      <c r="A122" s="77"/>
      <c r="B122" s="78"/>
      <c r="C122" s="78"/>
      <c r="D122" s="31"/>
      <c r="E122" s="32"/>
      <c r="F122" s="127" t="s">
        <v>97</v>
      </c>
      <c r="G122" s="128">
        <f>G83</f>
        <v>690942900</v>
      </c>
      <c r="H122" s="172" t="s">
        <v>133</v>
      </c>
      <c r="I122" s="170">
        <v>337287932</v>
      </c>
      <c r="J122" s="174"/>
      <c r="K122" s="80"/>
      <c r="L122" s="80"/>
      <c r="M122" s="244" t="s">
        <v>159</v>
      </c>
      <c r="N122" s="244"/>
      <c r="O122" s="244"/>
      <c r="P122" s="80"/>
    </row>
    <row r="123" spans="1:16" s="3" customFormat="1" ht="17.25" customHeight="1">
      <c r="A123" s="32"/>
      <c r="B123" s="82"/>
      <c r="C123" s="78"/>
      <c r="D123" s="83"/>
      <c r="E123" s="80"/>
      <c r="F123" s="178" t="s">
        <v>98</v>
      </c>
      <c r="G123" s="155">
        <f>G61</f>
        <v>389086600</v>
      </c>
      <c r="H123" s="175" t="s">
        <v>134</v>
      </c>
      <c r="I123" s="173">
        <v>0</v>
      </c>
      <c r="J123" s="174"/>
      <c r="K123" s="80"/>
      <c r="L123" s="80"/>
      <c r="M123" s="250" t="s">
        <v>139</v>
      </c>
      <c r="N123" s="250"/>
      <c r="O123" s="250"/>
      <c r="P123" s="85" t="s">
        <v>0</v>
      </c>
    </row>
    <row r="124" spans="1:16" s="3" customFormat="1" ht="18" customHeight="1">
      <c r="A124" s="32"/>
      <c r="B124" s="82"/>
      <c r="C124" s="78"/>
      <c r="D124" s="83"/>
      <c r="E124" s="32"/>
      <c r="F124" s="179" t="s">
        <v>99</v>
      </c>
      <c r="G124" s="154">
        <f>G54</f>
        <v>637720000</v>
      </c>
      <c r="H124" s="176"/>
      <c r="I124" s="174"/>
      <c r="J124" s="174"/>
      <c r="K124" s="80"/>
      <c r="L124" s="80"/>
      <c r="M124" s="251"/>
      <c r="N124" s="251"/>
      <c r="O124" s="251"/>
      <c r="P124" s="87"/>
    </row>
    <row r="125" spans="1:16" s="3" customFormat="1">
      <c r="A125" s="1"/>
      <c r="B125" s="88"/>
      <c r="C125" s="89"/>
      <c r="D125" s="90"/>
      <c r="E125" s="1"/>
      <c r="F125" s="180" t="s">
        <v>100</v>
      </c>
      <c r="G125" s="156">
        <f>G89+G95+G98</f>
        <v>753381950</v>
      </c>
      <c r="H125" s="91"/>
      <c r="I125" s="1"/>
      <c r="M125" s="246"/>
      <c r="N125" s="246"/>
      <c r="O125" s="246"/>
    </row>
    <row r="126" spans="1:16" s="3" customFormat="1">
      <c r="A126" s="1"/>
      <c r="B126" s="88"/>
      <c r="C126" s="89"/>
      <c r="D126" s="90"/>
      <c r="E126" s="1"/>
      <c r="F126" s="180" t="s">
        <v>101</v>
      </c>
      <c r="G126" s="157">
        <f>G105+G113+G116</f>
        <v>2677601700</v>
      </c>
      <c r="H126" s="91"/>
      <c r="I126" s="1"/>
      <c r="M126" s="245" t="s">
        <v>136</v>
      </c>
      <c r="N126" s="245"/>
      <c r="O126" s="245"/>
    </row>
    <row r="127" spans="1:16" s="3" customFormat="1" ht="15" customHeight="1">
      <c r="A127" s="1"/>
      <c r="B127" s="88"/>
      <c r="C127" s="89"/>
      <c r="D127" s="90"/>
      <c r="E127" s="1"/>
      <c r="F127" s="181" t="s">
        <v>102</v>
      </c>
      <c r="G127" s="158">
        <f>SUM(G120:G126)</f>
        <v>14328973086</v>
      </c>
      <c r="H127" s="91"/>
      <c r="I127" s="1"/>
      <c r="M127" s="242" t="s">
        <v>137</v>
      </c>
      <c r="N127" s="242"/>
      <c r="O127" s="242"/>
    </row>
    <row r="128" spans="1:16" s="3" customFormat="1" ht="15" customHeight="1">
      <c r="A128" s="1" t="s">
        <v>0</v>
      </c>
      <c r="B128" s="88"/>
      <c r="C128" s="89"/>
      <c r="D128" s="90"/>
      <c r="E128" s="1"/>
      <c r="F128" s="1"/>
      <c r="G128" s="158"/>
      <c r="H128" s="91"/>
      <c r="M128" s="242" t="s">
        <v>138</v>
      </c>
      <c r="N128" s="242"/>
      <c r="O128" s="242"/>
    </row>
    <row r="129" spans="1:8">
      <c r="A129" s="93"/>
      <c r="B129" s="94"/>
      <c r="C129" s="95"/>
      <c r="D129" s="96"/>
      <c r="E129" s="93"/>
      <c r="F129" s="93"/>
      <c r="G129" s="159"/>
      <c r="H129" s="98"/>
    </row>
    <row r="130" spans="1:8">
      <c r="A130" s="93"/>
      <c r="B130" s="94"/>
      <c r="C130" s="95"/>
      <c r="D130" s="96"/>
      <c r="E130" s="93"/>
      <c r="F130" s="93"/>
      <c r="G130" s="97"/>
      <c r="H130" s="98"/>
    </row>
    <row r="131" spans="1:8">
      <c r="A131" s="93"/>
      <c r="B131" s="94"/>
      <c r="C131" s="95"/>
      <c r="D131" s="96"/>
      <c r="E131" s="93"/>
      <c r="F131" s="93"/>
      <c r="G131" s="97"/>
      <c r="H131" s="98"/>
    </row>
  </sheetData>
  <mergeCells count="33">
    <mergeCell ref="A1:P1"/>
    <mergeCell ref="A2:P2"/>
    <mergeCell ref="A3:P3"/>
    <mergeCell ref="A5:E5"/>
    <mergeCell ref="A6:E6"/>
    <mergeCell ref="F6:P6"/>
    <mergeCell ref="A14:E14"/>
    <mergeCell ref="A7:E7"/>
    <mergeCell ref="A8:E8"/>
    <mergeCell ref="A10:E10"/>
    <mergeCell ref="F10:F1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M128:O128"/>
    <mergeCell ref="M122:O122"/>
    <mergeCell ref="M124:O124"/>
    <mergeCell ref="M125:O125"/>
    <mergeCell ref="M126:O126"/>
    <mergeCell ref="M127:O127"/>
    <mergeCell ref="M123:O123"/>
  </mergeCells>
  <pageMargins left="0.7" right="0.7" top="0.75" bottom="0.75" header="0.3" footer="0.3"/>
  <pageSetup paperSize="5" scale="22" orientation="landscape" horizontalDpi="4294967292" verticalDpi="4294967295" r:id="rId1"/>
  <rowBreaks count="1" manualBreakCount="1">
    <brk id="130" max="17" man="1"/>
  </rowBreaks>
</worksheet>
</file>

<file path=xl/worksheets/sheet3.xml><?xml version="1.0" encoding="utf-8"?>
<worksheet xmlns="http://schemas.openxmlformats.org/spreadsheetml/2006/main" xmlns:r="http://schemas.openxmlformats.org/officeDocument/2006/relationships">
  <dimension ref="A1:R131"/>
  <sheetViews>
    <sheetView showGridLines="0" view="pageBreakPreview" topLeftCell="A109" zoomScaleNormal="100" zoomScaleSheetLayoutView="100" workbookViewId="0">
      <selection activeCell="O120" sqref="O120"/>
    </sheetView>
  </sheetViews>
  <sheetFormatPr defaultColWidth="9.140625" defaultRowHeight="15"/>
  <cols>
    <col min="1" max="1" width="2.85546875" style="99" customWidth="1"/>
    <col min="2" max="3" width="2.85546875" style="100" customWidth="1"/>
    <col min="4" max="4" width="4.42578125" style="101" customWidth="1"/>
    <col min="5" max="5" width="3.7109375" style="99" customWidth="1"/>
    <col min="6" max="6" width="68.140625" style="99" customWidth="1"/>
    <col min="7" max="7" width="17.28515625" style="102" customWidth="1"/>
    <col min="8" max="8" width="8.28515625" style="63" customWidth="1"/>
    <col min="9" max="9" width="14" style="64" customWidth="1"/>
    <col min="10" max="10" width="7.7109375" style="64" customWidth="1"/>
    <col min="11" max="11" width="15" style="64" customWidth="1"/>
    <col min="12" max="12" width="8.140625" style="64" customWidth="1"/>
    <col min="13" max="13" width="14.28515625" style="64" customWidth="1"/>
    <col min="14" max="14" width="7.42578125" style="64" customWidth="1"/>
    <col min="15" max="15" width="7.85546875" style="64" customWidth="1"/>
    <col min="16" max="16" width="15.8554687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86</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60"/>
      <c r="B4" s="60"/>
      <c r="C4" s="60"/>
      <c r="D4" s="61"/>
      <c r="E4" s="60"/>
      <c r="F4" s="60"/>
      <c r="G4" s="62"/>
    </row>
    <row r="5" spans="1:17" ht="15" customHeight="1">
      <c r="A5" s="267" t="s">
        <v>113</v>
      </c>
      <c r="B5" s="257"/>
      <c r="C5" s="257"/>
      <c r="D5" s="257"/>
      <c r="E5" s="257"/>
      <c r="F5" s="65" t="s">
        <v>44</v>
      </c>
      <c r="G5" s="66"/>
      <c r="H5" s="66"/>
      <c r="I5" s="66"/>
      <c r="J5" s="66"/>
      <c r="K5" s="66"/>
      <c r="L5" s="66"/>
      <c r="M5" s="66"/>
      <c r="N5" s="66"/>
      <c r="O5" s="66"/>
      <c r="P5" s="66"/>
    </row>
    <row r="6" spans="1:17" ht="15" customHeight="1">
      <c r="A6" s="267" t="s">
        <v>112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196" t="s">
        <v>45</v>
      </c>
      <c r="G7" s="68"/>
      <c r="H7" s="69"/>
      <c r="I7" s="70"/>
      <c r="J7" s="70"/>
      <c r="K7" s="70"/>
      <c r="L7" s="70"/>
      <c r="M7" s="70"/>
      <c r="N7" s="70"/>
      <c r="O7" s="70"/>
      <c r="P7" s="70"/>
    </row>
    <row r="8" spans="1:17" ht="15" customHeight="1">
      <c r="A8" s="257" t="s">
        <v>40</v>
      </c>
      <c r="B8" s="257"/>
      <c r="C8" s="257"/>
      <c r="D8" s="257"/>
      <c r="E8" s="257"/>
      <c r="F8" s="199" t="s">
        <v>181</v>
      </c>
      <c r="G8" s="68"/>
      <c r="H8" s="69"/>
      <c r="I8" s="70"/>
      <c r="J8" s="70"/>
      <c r="K8" s="70"/>
      <c r="L8" s="70"/>
      <c r="M8" s="70"/>
      <c r="N8" s="70"/>
      <c r="O8" s="70"/>
      <c r="P8" s="70"/>
    </row>
    <row r="9" spans="1:17" ht="15" customHeight="1">
      <c r="A9" s="71"/>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135</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198" t="s">
        <v>30</v>
      </c>
      <c r="P12" s="252"/>
      <c r="Q12" s="74"/>
    </row>
    <row r="13" spans="1:17" ht="15" customHeight="1">
      <c r="A13" s="255"/>
      <c r="B13" s="255"/>
      <c r="C13" s="255"/>
      <c r="D13" s="255"/>
      <c r="E13" s="255"/>
      <c r="F13" s="263"/>
      <c r="G13" s="252"/>
      <c r="H13" s="256"/>
      <c r="I13" s="198" t="s">
        <v>29</v>
      </c>
      <c r="J13" s="198" t="s">
        <v>28</v>
      </c>
      <c r="K13" s="198" t="s">
        <v>29</v>
      </c>
      <c r="L13" s="198" t="s">
        <v>28</v>
      </c>
      <c r="M13" s="198" t="s">
        <v>29</v>
      </c>
      <c r="N13" s="198" t="s">
        <v>28</v>
      </c>
      <c r="O13" s="198" t="s">
        <v>28</v>
      </c>
      <c r="P13" s="252"/>
      <c r="Q13" s="74"/>
    </row>
    <row r="14" spans="1:17" s="75" customFormat="1" ht="15" customHeight="1">
      <c r="A14" s="247">
        <v>1</v>
      </c>
      <c r="B14" s="248"/>
      <c r="C14" s="248"/>
      <c r="D14" s="248"/>
      <c r="E14" s="249"/>
      <c r="F14" s="110">
        <v>2</v>
      </c>
      <c r="G14" s="111">
        <v>3</v>
      </c>
      <c r="H14" s="112">
        <v>4</v>
      </c>
      <c r="I14" s="113">
        <v>5</v>
      </c>
      <c r="J14" s="113">
        <v>6</v>
      </c>
      <c r="K14" s="113">
        <v>8</v>
      </c>
      <c r="L14" s="113">
        <v>9</v>
      </c>
      <c r="M14" s="113">
        <v>11</v>
      </c>
      <c r="N14" s="113">
        <v>12</v>
      </c>
      <c r="O14" s="113">
        <v>13</v>
      </c>
      <c r="P14" s="113">
        <v>14</v>
      </c>
    </row>
    <row r="15" spans="1:17" s="152" customFormat="1" ht="30" customHeight="1">
      <c r="A15" s="147"/>
      <c r="B15" s="148"/>
      <c r="C15" s="148"/>
      <c r="D15" s="148"/>
      <c r="E15" s="149"/>
      <c r="F15" s="140" t="s">
        <v>107</v>
      </c>
      <c r="G15" s="153">
        <f>G16</f>
        <v>9332143890</v>
      </c>
      <c r="H15" s="150"/>
      <c r="I15" s="151"/>
      <c r="J15" s="151"/>
      <c r="K15" s="151"/>
      <c r="L15" s="151"/>
      <c r="M15" s="151"/>
      <c r="N15" s="151"/>
      <c r="O15" s="151"/>
      <c r="P15" s="151"/>
    </row>
    <row r="16" spans="1:17" s="4" customFormat="1" ht="22.5" customHeight="1">
      <c r="A16" s="36">
        <v>2</v>
      </c>
      <c r="B16" s="36">
        <v>8</v>
      </c>
      <c r="C16" s="36">
        <v>1</v>
      </c>
      <c r="D16" s="37"/>
      <c r="E16" s="36"/>
      <c r="F16" s="38" t="s">
        <v>93</v>
      </c>
      <c r="G16" s="39">
        <f>G17+G25+G29+G33+G41+G45+G50</f>
        <v>9332143890</v>
      </c>
      <c r="H16" s="40">
        <f t="shared" ref="H16:H41" si="0">+G16/$G$119*100%</f>
        <v>0.62586902723976756</v>
      </c>
      <c r="I16" s="39">
        <f>Februari!M16</f>
        <v>616719732</v>
      </c>
      <c r="J16" s="42">
        <f>Februari!N16</f>
        <v>7.0478878253371038</v>
      </c>
      <c r="K16" s="39">
        <f>K17+K25+K29+K33+K45+K50</f>
        <v>1181668784</v>
      </c>
      <c r="L16" s="43">
        <f t="shared" ref="L16:L29" si="1">K16/G16*100</f>
        <v>12.662350665919705</v>
      </c>
      <c r="M16" s="39">
        <f t="shared" ref="M16:M29" si="2">I16+K16</f>
        <v>1798388516</v>
      </c>
      <c r="N16" s="43">
        <f t="shared" ref="N16:N29" si="3">M16/G16*100</f>
        <v>19.270904276637765</v>
      </c>
      <c r="O16" s="44"/>
      <c r="P16" s="39">
        <f t="shared" ref="P16:P29" si="4">G16-M16</f>
        <v>7533755374</v>
      </c>
    </row>
    <row r="17" spans="1:18" s="106" customFormat="1" ht="22.5" customHeight="1">
      <c r="A17" s="5">
        <v>2</v>
      </c>
      <c r="B17" s="5">
        <v>8</v>
      </c>
      <c r="C17" s="5">
        <v>1</v>
      </c>
      <c r="D17" s="6" t="s">
        <v>8</v>
      </c>
      <c r="E17" s="5"/>
      <c r="F17" s="7" t="s">
        <v>27</v>
      </c>
      <c r="G17" s="45">
        <f>SUM(G18:G24)</f>
        <v>41406100</v>
      </c>
      <c r="H17" s="9">
        <f t="shared" si="0"/>
        <v>2.7769391293421793E-3</v>
      </c>
      <c r="I17" s="8">
        <f>Februari!M17</f>
        <v>0</v>
      </c>
      <c r="J17" s="11">
        <f>Februari!N17</f>
        <v>0</v>
      </c>
      <c r="K17" s="45">
        <f>SUM(K18:K24)</f>
        <v>0</v>
      </c>
      <c r="L17" s="12">
        <f t="shared" si="1"/>
        <v>0</v>
      </c>
      <c r="M17" s="8">
        <f t="shared" si="2"/>
        <v>0</v>
      </c>
      <c r="N17" s="12">
        <f t="shared" si="3"/>
        <v>0</v>
      </c>
      <c r="O17" s="13"/>
      <c r="P17" s="8">
        <f t="shared" si="4"/>
        <v>41406100</v>
      </c>
      <c r="R17" s="107"/>
    </row>
    <row r="18" spans="1:18" s="3" customFormat="1" ht="22.5" customHeight="1">
      <c r="A18" s="14">
        <v>2</v>
      </c>
      <c r="B18" s="14">
        <v>8</v>
      </c>
      <c r="C18" s="14">
        <v>1</v>
      </c>
      <c r="D18" s="15" t="s">
        <v>8</v>
      </c>
      <c r="E18" s="14">
        <v>1</v>
      </c>
      <c r="F18" s="16" t="s">
        <v>49</v>
      </c>
      <c r="G18" s="17">
        <v>7249700</v>
      </c>
      <c r="H18" s="18">
        <f t="shared" si="0"/>
        <v>4.8620796467167875E-4</v>
      </c>
      <c r="I18" s="21">
        <f>Februari!M18</f>
        <v>0</v>
      </c>
      <c r="J18" s="190">
        <f>Februari!N18</f>
        <v>0</v>
      </c>
      <c r="K18" s="21">
        <v>0</v>
      </c>
      <c r="L18" s="20">
        <f t="shared" si="1"/>
        <v>0</v>
      </c>
      <c r="M18" s="30">
        <f t="shared" si="2"/>
        <v>0</v>
      </c>
      <c r="N18" s="29">
        <f t="shared" si="3"/>
        <v>0</v>
      </c>
      <c r="O18" s="22"/>
      <c r="P18" s="21">
        <f t="shared" si="4"/>
        <v>7249700</v>
      </c>
      <c r="R18" s="76"/>
    </row>
    <row r="19" spans="1:18" s="3" customFormat="1" ht="22.5" customHeight="1">
      <c r="A19" s="14">
        <v>2</v>
      </c>
      <c r="B19" s="14">
        <v>8</v>
      </c>
      <c r="C19" s="14">
        <v>1</v>
      </c>
      <c r="D19" s="15" t="s">
        <v>8</v>
      </c>
      <c r="E19" s="14">
        <v>2</v>
      </c>
      <c r="F19" s="16" t="s">
        <v>50</v>
      </c>
      <c r="G19" s="17">
        <v>6750400</v>
      </c>
      <c r="H19" s="18">
        <f t="shared" si="0"/>
        <v>4.5272193948986856E-4</v>
      </c>
      <c r="I19" s="21">
        <f>Februari!M19</f>
        <v>0</v>
      </c>
      <c r="J19" s="190">
        <f>Februari!N19</f>
        <v>0</v>
      </c>
      <c r="K19" s="21">
        <v>0</v>
      </c>
      <c r="L19" s="20">
        <f t="shared" si="1"/>
        <v>0</v>
      </c>
      <c r="M19" s="30">
        <f t="shared" si="2"/>
        <v>0</v>
      </c>
      <c r="N19" s="29">
        <f t="shared" si="3"/>
        <v>0</v>
      </c>
      <c r="O19" s="22"/>
      <c r="P19" s="21">
        <f t="shared" si="4"/>
        <v>6750400</v>
      </c>
      <c r="R19" s="76"/>
    </row>
    <row r="20" spans="1:18" s="3" customFormat="1" ht="22.5" customHeight="1">
      <c r="A20" s="14">
        <v>2</v>
      </c>
      <c r="B20" s="14">
        <v>8</v>
      </c>
      <c r="C20" s="14">
        <v>1</v>
      </c>
      <c r="D20" s="15" t="s">
        <v>8</v>
      </c>
      <c r="E20" s="14">
        <v>3</v>
      </c>
      <c r="F20" s="16" t="s">
        <v>51</v>
      </c>
      <c r="G20" s="17">
        <v>8800000</v>
      </c>
      <c r="H20" s="18">
        <f t="shared" si="0"/>
        <v>5.9018029561371823E-4</v>
      </c>
      <c r="I20" s="21">
        <f>Februari!M20</f>
        <v>0</v>
      </c>
      <c r="J20" s="190">
        <f>Februari!N20</f>
        <v>0</v>
      </c>
      <c r="K20" s="21">
        <v>0</v>
      </c>
      <c r="L20" s="20">
        <f t="shared" si="1"/>
        <v>0</v>
      </c>
      <c r="M20" s="30">
        <f t="shared" si="2"/>
        <v>0</v>
      </c>
      <c r="N20" s="29">
        <f t="shared" si="3"/>
        <v>0</v>
      </c>
      <c r="O20" s="22"/>
      <c r="P20" s="21">
        <f t="shared" si="4"/>
        <v>8800000</v>
      </c>
      <c r="R20" s="76"/>
    </row>
    <row r="21" spans="1:18" s="3" customFormat="1" ht="22.5" customHeight="1">
      <c r="A21" s="14">
        <v>2</v>
      </c>
      <c r="B21" s="14">
        <v>8</v>
      </c>
      <c r="C21" s="14">
        <v>1</v>
      </c>
      <c r="D21" s="15" t="s">
        <v>8</v>
      </c>
      <c r="E21" s="14">
        <v>4</v>
      </c>
      <c r="F21" s="16" t="s">
        <v>52</v>
      </c>
      <c r="G21" s="17">
        <v>2545000</v>
      </c>
      <c r="H21" s="18">
        <f t="shared" si="0"/>
        <v>1.7068282412919465E-4</v>
      </c>
      <c r="I21" s="21">
        <f>Februari!M21</f>
        <v>0</v>
      </c>
      <c r="J21" s="190">
        <f>Februari!N21</f>
        <v>0</v>
      </c>
      <c r="K21" s="21">
        <v>0</v>
      </c>
      <c r="L21" s="20">
        <f t="shared" si="1"/>
        <v>0</v>
      </c>
      <c r="M21" s="30">
        <f t="shared" si="2"/>
        <v>0</v>
      </c>
      <c r="N21" s="29">
        <f t="shared" si="3"/>
        <v>0</v>
      </c>
      <c r="O21" s="22"/>
      <c r="P21" s="21">
        <f t="shared" si="4"/>
        <v>2545000</v>
      </c>
      <c r="R21" s="76"/>
    </row>
    <row r="22" spans="1:18" s="3" customFormat="1" ht="22.5" customHeight="1">
      <c r="A22" s="14">
        <v>2</v>
      </c>
      <c r="B22" s="14">
        <v>8</v>
      </c>
      <c r="C22" s="14">
        <v>1</v>
      </c>
      <c r="D22" s="15" t="s">
        <v>8</v>
      </c>
      <c r="E22" s="14">
        <v>5</v>
      </c>
      <c r="F22" s="16" t="s">
        <v>53</v>
      </c>
      <c r="G22" s="17">
        <v>2675000</v>
      </c>
      <c r="H22" s="18">
        <f t="shared" si="0"/>
        <v>1.7940139667803367E-4</v>
      </c>
      <c r="I22" s="21">
        <f>Februari!M22</f>
        <v>0</v>
      </c>
      <c r="J22" s="190">
        <f>Februari!N22</f>
        <v>0</v>
      </c>
      <c r="K22" s="21">
        <v>0</v>
      </c>
      <c r="L22" s="20">
        <f t="shared" si="1"/>
        <v>0</v>
      </c>
      <c r="M22" s="30">
        <f t="shared" si="2"/>
        <v>0</v>
      </c>
      <c r="N22" s="29">
        <f t="shared" si="3"/>
        <v>0</v>
      </c>
      <c r="O22" s="22"/>
      <c r="P22" s="21">
        <f t="shared" si="4"/>
        <v>2675000</v>
      </c>
      <c r="R22" s="76"/>
    </row>
    <row r="23" spans="1:18" s="3" customFormat="1" ht="31.5" customHeight="1">
      <c r="A23" s="14">
        <v>2</v>
      </c>
      <c r="B23" s="14">
        <v>8</v>
      </c>
      <c r="C23" s="14">
        <v>1</v>
      </c>
      <c r="D23" s="15" t="s">
        <v>8</v>
      </c>
      <c r="E23" s="14">
        <v>6</v>
      </c>
      <c r="F23" s="16" t="s">
        <v>54</v>
      </c>
      <c r="G23" s="17">
        <v>6851000</v>
      </c>
      <c r="H23" s="18">
        <f t="shared" si="0"/>
        <v>4.5946877332381632E-4</v>
      </c>
      <c r="I23" s="21">
        <f>Februari!M23</f>
        <v>0</v>
      </c>
      <c r="J23" s="190">
        <f>Februari!N23</f>
        <v>0</v>
      </c>
      <c r="K23" s="21">
        <v>0</v>
      </c>
      <c r="L23" s="20">
        <f t="shared" si="1"/>
        <v>0</v>
      </c>
      <c r="M23" s="30">
        <f t="shared" si="2"/>
        <v>0</v>
      </c>
      <c r="N23" s="29">
        <f t="shared" si="3"/>
        <v>0</v>
      </c>
      <c r="O23" s="22"/>
      <c r="P23" s="21">
        <f t="shared" si="4"/>
        <v>6851000</v>
      </c>
      <c r="R23" s="76"/>
    </row>
    <row r="24" spans="1:18" s="3" customFormat="1" ht="22.5" customHeight="1">
      <c r="A24" s="14">
        <v>2</v>
      </c>
      <c r="B24" s="14">
        <v>8</v>
      </c>
      <c r="C24" s="14">
        <v>1</v>
      </c>
      <c r="D24" s="15" t="s">
        <v>8</v>
      </c>
      <c r="E24" s="14">
        <v>7</v>
      </c>
      <c r="F24" s="16" t="s">
        <v>55</v>
      </c>
      <c r="G24" s="17">
        <v>6535000</v>
      </c>
      <c r="H24" s="18">
        <f t="shared" si="0"/>
        <v>4.3827593543586913E-4</v>
      </c>
      <c r="I24" s="21">
        <f>Februari!M24</f>
        <v>0</v>
      </c>
      <c r="J24" s="190">
        <f>Februari!N24</f>
        <v>0</v>
      </c>
      <c r="K24" s="21">
        <v>0</v>
      </c>
      <c r="L24" s="20">
        <f t="shared" si="1"/>
        <v>0</v>
      </c>
      <c r="M24" s="30">
        <f t="shared" si="2"/>
        <v>0</v>
      </c>
      <c r="N24" s="29">
        <f t="shared" si="3"/>
        <v>0</v>
      </c>
      <c r="O24" s="22"/>
      <c r="P24" s="21">
        <f t="shared" si="4"/>
        <v>6535000</v>
      </c>
      <c r="R24" s="76"/>
    </row>
    <row r="25" spans="1:18" s="106" customFormat="1" ht="22.5" customHeight="1">
      <c r="A25" s="5">
        <v>2</v>
      </c>
      <c r="B25" s="5">
        <v>8</v>
      </c>
      <c r="C25" s="5">
        <v>1</v>
      </c>
      <c r="D25" s="6" t="s">
        <v>7</v>
      </c>
      <c r="E25" s="5"/>
      <c r="F25" s="7" t="s">
        <v>26</v>
      </c>
      <c r="G25" s="45">
        <f>SUM(G26:G28)</f>
        <v>7153137563</v>
      </c>
      <c r="H25" s="9">
        <f t="shared" si="0"/>
        <v>0.47973191380646951</v>
      </c>
      <c r="I25" s="8">
        <f>Februari!M25</f>
        <v>552429929</v>
      </c>
      <c r="J25" s="11">
        <f>Februari!N25</f>
        <v>8.4065624341366423</v>
      </c>
      <c r="K25" s="45">
        <f>SUM(K26:K28)</f>
        <v>1153698784</v>
      </c>
      <c r="L25" s="12">
        <f t="shared" si="1"/>
        <v>16.128569789676224</v>
      </c>
      <c r="M25" s="8">
        <f t="shared" si="2"/>
        <v>1706128713</v>
      </c>
      <c r="N25" s="12">
        <f t="shared" si="3"/>
        <v>23.851473538339949</v>
      </c>
      <c r="O25" s="13"/>
      <c r="P25" s="8">
        <f t="shared" si="4"/>
        <v>5447008850</v>
      </c>
    </row>
    <row r="26" spans="1:18" s="3" customFormat="1" ht="22.5" customHeight="1">
      <c r="A26" s="14">
        <v>2</v>
      </c>
      <c r="B26" s="14">
        <v>8</v>
      </c>
      <c r="C26" s="14">
        <v>1</v>
      </c>
      <c r="D26" s="15" t="s">
        <v>7</v>
      </c>
      <c r="E26" s="14">
        <v>1</v>
      </c>
      <c r="F26" s="16" t="s">
        <v>56</v>
      </c>
      <c r="G26" s="17">
        <v>7089489563</v>
      </c>
      <c r="H26" s="18">
        <f t="shared" si="0"/>
        <v>0.47546330068655795</v>
      </c>
      <c r="I26" s="21">
        <f>Februari!M26</f>
        <v>552429929</v>
      </c>
      <c r="J26" s="190">
        <f>Februari!N26</f>
        <v>8.4887812747508704</v>
      </c>
      <c r="K26" s="21">
        <f>276979617+4172017+187380710+2469504+274870375+4071923+199263755+196163143+2469504+2428236</f>
        <v>1150268784</v>
      </c>
      <c r="L26" s="20">
        <f t="shared" si="1"/>
        <v>16.224987339049701</v>
      </c>
      <c r="M26" s="21">
        <f t="shared" si="2"/>
        <v>1702698713</v>
      </c>
      <c r="N26" s="20">
        <f t="shared" si="3"/>
        <v>24.017225751856291</v>
      </c>
      <c r="O26" s="22"/>
      <c r="P26" s="21">
        <f t="shared" si="4"/>
        <v>5386790850</v>
      </c>
    </row>
    <row r="27" spans="1:18" s="3" customFormat="1" ht="22.5" customHeight="1">
      <c r="A27" s="14">
        <v>2</v>
      </c>
      <c r="B27" s="14">
        <v>8</v>
      </c>
      <c r="C27" s="14">
        <v>1</v>
      </c>
      <c r="D27" s="15" t="s">
        <v>7</v>
      </c>
      <c r="E27" s="14">
        <v>2</v>
      </c>
      <c r="F27" s="16" t="s">
        <v>57</v>
      </c>
      <c r="G27" s="17">
        <v>57247000</v>
      </c>
      <c r="H27" s="18">
        <f t="shared" si="0"/>
        <v>3.8393240207952872E-3</v>
      </c>
      <c r="I27" s="21">
        <f>Februari!M27</f>
        <v>0</v>
      </c>
      <c r="J27" s="190">
        <f>Februari!N27</f>
        <v>0</v>
      </c>
      <c r="K27" s="21">
        <f>1250000+1090000+1090000</f>
        <v>3430000</v>
      </c>
      <c r="L27" s="20">
        <f t="shared" si="1"/>
        <v>5.9915803448215632</v>
      </c>
      <c r="M27" s="21">
        <f t="shared" si="2"/>
        <v>3430000</v>
      </c>
      <c r="N27" s="20">
        <f t="shared" si="3"/>
        <v>5.9915803448215632</v>
      </c>
      <c r="O27" s="22"/>
      <c r="P27" s="21">
        <f t="shared" si="4"/>
        <v>53817000</v>
      </c>
    </row>
    <row r="28" spans="1:18" s="3" customFormat="1" ht="22.5" customHeight="1">
      <c r="A28" s="14">
        <v>2</v>
      </c>
      <c r="B28" s="14">
        <v>8</v>
      </c>
      <c r="C28" s="14">
        <v>1</v>
      </c>
      <c r="D28" s="15" t="s">
        <v>7</v>
      </c>
      <c r="E28" s="14">
        <v>5</v>
      </c>
      <c r="F28" s="16" t="s">
        <v>58</v>
      </c>
      <c r="G28" s="17">
        <v>6401000</v>
      </c>
      <c r="H28" s="18">
        <f t="shared" si="0"/>
        <v>4.2928909911629662E-4</v>
      </c>
      <c r="I28" s="21">
        <f>Februari!M28</f>
        <v>0</v>
      </c>
      <c r="J28" s="190">
        <f>Februari!N28</f>
        <v>0</v>
      </c>
      <c r="K28" s="21">
        <v>0</v>
      </c>
      <c r="L28" s="20">
        <f t="shared" si="1"/>
        <v>0</v>
      </c>
      <c r="M28" s="30">
        <f t="shared" si="2"/>
        <v>0</v>
      </c>
      <c r="N28" s="29">
        <f t="shared" si="3"/>
        <v>0</v>
      </c>
      <c r="O28" s="22"/>
      <c r="P28" s="21">
        <f t="shared" si="4"/>
        <v>6401000</v>
      </c>
    </row>
    <row r="29" spans="1:18" s="35" customFormat="1" ht="22.5" customHeight="1">
      <c r="A29" s="5">
        <v>2</v>
      </c>
      <c r="B29" s="5">
        <v>8</v>
      </c>
      <c r="C29" s="5">
        <v>1</v>
      </c>
      <c r="D29" s="6" t="s">
        <v>14</v>
      </c>
      <c r="E29" s="5"/>
      <c r="F29" s="7" t="s">
        <v>25</v>
      </c>
      <c r="G29" s="45">
        <f>SUM(G30:G32)</f>
        <v>13830000</v>
      </c>
      <c r="H29" s="9">
        <f t="shared" si="0"/>
        <v>9.2752198731110489E-4</v>
      </c>
      <c r="I29" s="8">
        <f>Februari!M29</f>
        <v>0</v>
      </c>
      <c r="J29" s="11">
        <f>Februari!N29</f>
        <v>0</v>
      </c>
      <c r="K29" s="45">
        <f>K32</f>
        <v>1700000</v>
      </c>
      <c r="L29" s="108">
        <f t="shared" si="1"/>
        <v>12.292118582791034</v>
      </c>
      <c r="M29" s="8">
        <f t="shared" si="2"/>
        <v>1700000</v>
      </c>
      <c r="N29" s="12">
        <f t="shared" si="3"/>
        <v>12.292118582791034</v>
      </c>
      <c r="O29" s="13"/>
      <c r="P29" s="8">
        <f t="shared" si="4"/>
        <v>12130000</v>
      </c>
    </row>
    <row r="30" spans="1:18" s="35" customFormat="1" ht="22.5" customHeight="1">
      <c r="A30" s="14">
        <v>2</v>
      </c>
      <c r="B30" s="14">
        <v>8</v>
      </c>
      <c r="C30" s="14">
        <v>1</v>
      </c>
      <c r="D30" s="15" t="s">
        <v>14</v>
      </c>
      <c r="E30" s="14">
        <v>1</v>
      </c>
      <c r="F30" s="166" t="s">
        <v>114</v>
      </c>
      <c r="G30" s="17">
        <v>1045000</v>
      </c>
      <c r="H30" s="18">
        <f t="shared" si="0"/>
        <v>7.0083910104129035E-5</v>
      </c>
      <c r="I30" s="21">
        <f>Februari!M30</f>
        <v>0</v>
      </c>
      <c r="J30" s="190">
        <f>Februari!N30</f>
        <v>0</v>
      </c>
      <c r="K30" s="164"/>
      <c r="L30" s="20"/>
      <c r="M30" s="30"/>
      <c r="N30" s="29"/>
      <c r="O30" s="165"/>
      <c r="P30" s="30"/>
    </row>
    <row r="31" spans="1:18" s="35" customFormat="1" ht="22.5" customHeight="1">
      <c r="A31" s="14">
        <v>2</v>
      </c>
      <c r="B31" s="14">
        <v>8</v>
      </c>
      <c r="C31" s="14">
        <v>1</v>
      </c>
      <c r="D31" s="15" t="s">
        <v>14</v>
      </c>
      <c r="E31" s="14">
        <v>5</v>
      </c>
      <c r="F31" s="166" t="s">
        <v>115</v>
      </c>
      <c r="G31" s="17">
        <v>1100000</v>
      </c>
      <c r="H31" s="18">
        <f t="shared" si="0"/>
        <v>7.3772536951714778E-5</v>
      </c>
      <c r="I31" s="21">
        <f>Februari!M31</f>
        <v>0</v>
      </c>
      <c r="J31" s="190">
        <f>Februari!N31</f>
        <v>0</v>
      </c>
      <c r="K31" s="164"/>
      <c r="L31" s="20"/>
      <c r="M31" s="30"/>
      <c r="N31" s="29"/>
      <c r="O31" s="165"/>
      <c r="P31" s="30"/>
    </row>
    <row r="32" spans="1:18" s="3" customFormat="1" ht="22.5" customHeight="1">
      <c r="A32" s="14">
        <v>2</v>
      </c>
      <c r="B32" s="14">
        <v>8</v>
      </c>
      <c r="C32" s="14">
        <v>1</v>
      </c>
      <c r="D32" s="15" t="s">
        <v>14</v>
      </c>
      <c r="E32" s="14">
        <v>6</v>
      </c>
      <c r="F32" s="16" t="s">
        <v>59</v>
      </c>
      <c r="G32" s="17">
        <v>11685000</v>
      </c>
      <c r="H32" s="18">
        <f t="shared" si="0"/>
        <v>7.83665540255261E-4</v>
      </c>
      <c r="I32" s="21">
        <f>Februari!M32</f>
        <v>0</v>
      </c>
      <c r="J32" s="190">
        <f>Februari!N32</f>
        <v>0</v>
      </c>
      <c r="K32" s="21">
        <f>1700000</f>
        <v>1700000</v>
      </c>
      <c r="L32" s="20">
        <f t="shared" ref="L32:L37" si="5">K32/G32*100</f>
        <v>14.548566538296962</v>
      </c>
      <c r="M32" s="21">
        <f t="shared" ref="M32:M37" si="6">I32+K32</f>
        <v>1700000</v>
      </c>
      <c r="N32" s="20">
        <f t="shared" ref="N32:N37" si="7">M32/G32*100</f>
        <v>14.548566538296962</v>
      </c>
      <c r="O32" s="22"/>
      <c r="P32" s="21">
        <f t="shared" ref="P32:P37" si="8">G32-M32</f>
        <v>9985000</v>
      </c>
    </row>
    <row r="33" spans="1:16" s="106" customFormat="1" ht="22.5" customHeight="1">
      <c r="A33" s="5">
        <v>2</v>
      </c>
      <c r="B33" s="5">
        <v>8</v>
      </c>
      <c r="C33" s="5">
        <v>1</v>
      </c>
      <c r="D33" s="6" t="s">
        <v>24</v>
      </c>
      <c r="E33" s="5"/>
      <c r="F33" s="7" t="s">
        <v>4</v>
      </c>
      <c r="G33" s="45">
        <f>SUM(G34:G40)</f>
        <v>861641250</v>
      </c>
      <c r="H33" s="9">
        <f t="shared" si="0"/>
        <v>5.7786782686133374E-2</v>
      </c>
      <c r="I33" s="8">
        <f>Februari!M33</f>
        <v>12154803</v>
      </c>
      <c r="J33" s="11">
        <f>Februari!N33</f>
        <v>1.4106570454931215</v>
      </c>
      <c r="K33" s="45">
        <f>SUM(K34:K39)</f>
        <v>0</v>
      </c>
      <c r="L33" s="108">
        <f t="shared" si="5"/>
        <v>0</v>
      </c>
      <c r="M33" s="8">
        <f t="shared" si="6"/>
        <v>12154803</v>
      </c>
      <c r="N33" s="12">
        <f t="shared" si="7"/>
        <v>1.4106570454931215</v>
      </c>
      <c r="O33" s="13"/>
      <c r="P33" s="8">
        <f t="shared" si="8"/>
        <v>849486447</v>
      </c>
    </row>
    <row r="34" spans="1:16" s="3" customFormat="1" ht="22.5" customHeight="1">
      <c r="A34" s="14">
        <v>2</v>
      </c>
      <c r="B34" s="14">
        <v>8</v>
      </c>
      <c r="C34" s="14">
        <v>1</v>
      </c>
      <c r="D34" s="15" t="s">
        <v>24</v>
      </c>
      <c r="E34" s="14">
        <v>1</v>
      </c>
      <c r="F34" s="16" t="s">
        <v>60</v>
      </c>
      <c r="G34" s="17">
        <v>7066000</v>
      </c>
      <c r="H34" s="18">
        <f t="shared" si="0"/>
        <v>4.7388795100074239E-4</v>
      </c>
      <c r="I34" s="21">
        <f>Februari!M34</f>
        <v>0</v>
      </c>
      <c r="J34" s="190">
        <f>Februari!N34</f>
        <v>0</v>
      </c>
      <c r="K34" s="21">
        <v>0</v>
      </c>
      <c r="L34" s="20">
        <f t="shared" si="5"/>
        <v>0</v>
      </c>
      <c r="M34" s="30">
        <f t="shared" si="6"/>
        <v>0</v>
      </c>
      <c r="N34" s="29">
        <f t="shared" si="7"/>
        <v>0</v>
      </c>
      <c r="O34" s="22"/>
      <c r="P34" s="21">
        <f t="shared" si="8"/>
        <v>7066000</v>
      </c>
    </row>
    <row r="35" spans="1:16" s="3" customFormat="1" ht="22.5" customHeight="1">
      <c r="A35" s="14">
        <v>2</v>
      </c>
      <c r="B35" s="14">
        <v>8</v>
      </c>
      <c r="C35" s="14">
        <v>1</v>
      </c>
      <c r="D35" s="15" t="s">
        <v>24</v>
      </c>
      <c r="E35" s="14">
        <v>2</v>
      </c>
      <c r="F35" s="16" t="s">
        <v>61</v>
      </c>
      <c r="G35" s="17">
        <v>60937700</v>
      </c>
      <c r="H35" s="18">
        <f t="shared" si="0"/>
        <v>4.0868442954568266E-3</v>
      </c>
      <c r="I35" s="21">
        <f>Februari!M35</f>
        <v>0</v>
      </c>
      <c r="J35" s="190">
        <f>Februari!N35</f>
        <v>0</v>
      </c>
      <c r="K35" s="21">
        <v>0</v>
      </c>
      <c r="L35" s="20">
        <f t="shared" si="5"/>
        <v>0</v>
      </c>
      <c r="M35" s="30">
        <f t="shared" si="6"/>
        <v>0</v>
      </c>
      <c r="N35" s="29">
        <f t="shared" si="7"/>
        <v>0</v>
      </c>
      <c r="O35" s="22"/>
      <c r="P35" s="21">
        <f t="shared" si="8"/>
        <v>60937700</v>
      </c>
    </row>
    <row r="36" spans="1:16" s="3" customFormat="1" ht="22.5" customHeight="1">
      <c r="A36" s="14">
        <v>2</v>
      </c>
      <c r="B36" s="14">
        <v>8</v>
      </c>
      <c r="C36" s="14">
        <v>1</v>
      </c>
      <c r="D36" s="15" t="s">
        <v>24</v>
      </c>
      <c r="E36" s="14">
        <v>5</v>
      </c>
      <c r="F36" s="16" t="s">
        <v>62</v>
      </c>
      <c r="G36" s="17">
        <v>15300000</v>
      </c>
      <c r="H36" s="18">
        <f t="shared" si="0"/>
        <v>1.0261089230556692E-3</v>
      </c>
      <c r="I36" s="21">
        <f>Februari!M36</f>
        <v>0</v>
      </c>
      <c r="J36" s="190">
        <f>Februari!N36</f>
        <v>0</v>
      </c>
      <c r="K36" s="21">
        <v>0</v>
      </c>
      <c r="L36" s="20">
        <f t="shared" si="5"/>
        <v>0</v>
      </c>
      <c r="M36" s="30">
        <f t="shared" si="6"/>
        <v>0</v>
      </c>
      <c r="N36" s="29">
        <f t="shared" si="7"/>
        <v>0</v>
      </c>
      <c r="O36" s="22"/>
      <c r="P36" s="21">
        <f t="shared" si="8"/>
        <v>15300000</v>
      </c>
    </row>
    <row r="37" spans="1:16" s="3" customFormat="1" ht="22.5" customHeight="1">
      <c r="A37" s="14">
        <v>2</v>
      </c>
      <c r="B37" s="14">
        <v>8</v>
      </c>
      <c r="C37" s="14">
        <v>1</v>
      </c>
      <c r="D37" s="15" t="s">
        <v>24</v>
      </c>
      <c r="E37" s="14">
        <v>6</v>
      </c>
      <c r="F37" s="16" t="s">
        <v>63</v>
      </c>
      <c r="G37" s="17">
        <v>12600000</v>
      </c>
      <c r="H37" s="18">
        <f t="shared" si="0"/>
        <v>8.4503087781055111E-4</v>
      </c>
      <c r="I37" s="21">
        <f>Februari!M37</f>
        <v>0</v>
      </c>
      <c r="J37" s="190">
        <f>Februari!N37</f>
        <v>0</v>
      </c>
      <c r="K37" s="21">
        <v>0</v>
      </c>
      <c r="L37" s="20">
        <f t="shared" si="5"/>
        <v>0</v>
      </c>
      <c r="M37" s="30">
        <f t="shared" si="6"/>
        <v>0</v>
      </c>
      <c r="N37" s="29">
        <f t="shared" si="7"/>
        <v>0</v>
      </c>
      <c r="O37" s="22"/>
      <c r="P37" s="21">
        <f t="shared" si="8"/>
        <v>12600000</v>
      </c>
    </row>
    <row r="38" spans="1:16" s="3" customFormat="1" ht="22.5" customHeight="1">
      <c r="A38" s="14">
        <v>2</v>
      </c>
      <c r="B38" s="14">
        <v>8</v>
      </c>
      <c r="C38" s="14">
        <v>1</v>
      </c>
      <c r="D38" s="15" t="s">
        <v>24</v>
      </c>
      <c r="E38" s="14">
        <v>8</v>
      </c>
      <c r="F38" s="166" t="s">
        <v>120</v>
      </c>
      <c r="G38" s="17">
        <v>8000000</v>
      </c>
      <c r="H38" s="18">
        <f t="shared" si="0"/>
        <v>5.3652754146701659E-4</v>
      </c>
      <c r="I38" s="21">
        <f>Februari!M38</f>
        <v>0</v>
      </c>
      <c r="J38" s="190">
        <f>Februari!N38</f>
        <v>0</v>
      </c>
      <c r="K38" s="21"/>
      <c r="L38" s="20"/>
      <c r="M38" s="30"/>
      <c r="N38" s="29"/>
      <c r="O38" s="22"/>
      <c r="P38" s="21"/>
    </row>
    <row r="39" spans="1:16" s="3" customFormat="1" ht="22.5" customHeight="1">
      <c r="A39" s="14">
        <v>2</v>
      </c>
      <c r="B39" s="14">
        <v>8</v>
      </c>
      <c r="C39" s="14">
        <v>1</v>
      </c>
      <c r="D39" s="15" t="s">
        <v>24</v>
      </c>
      <c r="E39" s="14">
        <v>9</v>
      </c>
      <c r="F39" s="16" t="s">
        <v>64</v>
      </c>
      <c r="G39" s="17">
        <v>754225900</v>
      </c>
      <c r="H39" s="18">
        <f t="shared" si="0"/>
        <v>5.0582870979718482E-2</v>
      </c>
      <c r="I39" s="21">
        <f>Februari!M39</f>
        <v>12154803</v>
      </c>
      <c r="J39" s="190">
        <f>Februari!N39</f>
        <v>1.611560011397116</v>
      </c>
      <c r="K39" s="21"/>
      <c r="L39" s="20">
        <f>K39/G39*100</f>
        <v>0</v>
      </c>
      <c r="M39" s="21">
        <f>I39+K39</f>
        <v>12154803</v>
      </c>
      <c r="N39" s="20">
        <f>M39/G39*100</f>
        <v>1.611560011397116</v>
      </c>
      <c r="O39" s="22"/>
      <c r="P39" s="21">
        <f>G39-M39</f>
        <v>742071097</v>
      </c>
    </row>
    <row r="40" spans="1:16" s="3" customFormat="1" ht="22.5" customHeight="1">
      <c r="A40" s="14">
        <v>2</v>
      </c>
      <c r="B40" s="14">
        <v>8</v>
      </c>
      <c r="C40" s="14">
        <v>1</v>
      </c>
      <c r="D40" s="15" t="s">
        <v>24</v>
      </c>
      <c r="E40" s="14">
        <v>10</v>
      </c>
      <c r="F40" s="166" t="s">
        <v>118</v>
      </c>
      <c r="G40" s="17">
        <v>3511650</v>
      </c>
      <c r="H40" s="18">
        <f t="shared" si="0"/>
        <v>2.3551211762408108E-4</v>
      </c>
      <c r="I40" s="21">
        <f>Februari!M40</f>
        <v>0</v>
      </c>
      <c r="J40" s="190">
        <f>Februari!N40</f>
        <v>0</v>
      </c>
      <c r="K40" s="21"/>
      <c r="L40" s="20"/>
      <c r="M40" s="30"/>
      <c r="N40" s="29"/>
      <c r="O40" s="22"/>
      <c r="P40" s="21"/>
    </row>
    <row r="41" spans="1:16" s="3" customFormat="1" ht="22.5" customHeight="1">
      <c r="A41" s="5">
        <v>2</v>
      </c>
      <c r="B41" s="5">
        <v>8</v>
      </c>
      <c r="C41" s="5">
        <v>1</v>
      </c>
      <c r="D41" s="6" t="s">
        <v>116</v>
      </c>
      <c r="E41" s="5"/>
      <c r="F41" s="167" t="s">
        <v>117</v>
      </c>
      <c r="G41" s="45">
        <f>SUM(G42:G44)</f>
        <v>436053900</v>
      </c>
      <c r="H41" s="9">
        <f t="shared" si="0"/>
        <v>2.9244365864263037E-2</v>
      </c>
      <c r="I41" s="8">
        <f>Februari!M41</f>
        <v>0</v>
      </c>
      <c r="J41" s="11">
        <f>Februari!N41</f>
        <v>0</v>
      </c>
      <c r="K41" s="45"/>
      <c r="L41" s="12">
        <f>K41/G41*100</f>
        <v>0</v>
      </c>
      <c r="M41" s="8">
        <f>I41+K41</f>
        <v>0</v>
      </c>
      <c r="N41" s="12">
        <f>M41/G41*100</f>
        <v>0</v>
      </c>
      <c r="O41" s="13"/>
      <c r="P41" s="8">
        <f>G41-M41</f>
        <v>436053900</v>
      </c>
    </row>
    <row r="42" spans="1:16" s="3" customFormat="1" ht="22.5" customHeight="1">
      <c r="A42" s="14">
        <v>2</v>
      </c>
      <c r="B42" s="14">
        <v>8</v>
      </c>
      <c r="C42" s="14">
        <v>1</v>
      </c>
      <c r="D42" s="15" t="s">
        <v>116</v>
      </c>
      <c r="E42" s="14">
        <v>2</v>
      </c>
      <c r="F42" s="166" t="s">
        <v>143</v>
      </c>
      <c r="G42" s="17">
        <v>300000000</v>
      </c>
      <c r="H42" s="18">
        <f t="shared" ref="H42:H53" si="9">+G42/$G$119*100%</f>
        <v>2.0119782805013121E-2</v>
      </c>
      <c r="I42" s="21">
        <f>Februari!M42</f>
        <v>0</v>
      </c>
      <c r="J42" s="190">
        <f>Februari!N42</f>
        <v>0</v>
      </c>
      <c r="K42" s="164"/>
      <c r="L42" s="29"/>
      <c r="M42" s="30"/>
      <c r="N42" s="29"/>
      <c r="O42" s="165"/>
      <c r="P42" s="30"/>
    </row>
    <row r="43" spans="1:16" s="3" customFormat="1" ht="22.5" customHeight="1">
      <c r="A43" s="14">
        <v>2</v>
      </c>
      <c r="B43" s="14">
        <v>8</v>
      </c>
      <c r="C43" s="14">
        <v>1</v>
      </c>
      <c r="D43" s="15" t="s">
        <v>116</v>
      </c>
      <c r="E43" s="14">
        <v>5</v>
      </c>
      <c r="F43" s="166" t="s">
        <v>144</v>
      </c>
      <c r="G43" s="17">
        <v>46109900</v>
      </c>
      <c r="H43" s="18">
        <f t="shared" si="9"/>
        <v>3.0924039105362485E-3</v>
      </c>
      <c r="I43" s="21">
        <f>Februari!M43</f>
        <v>0</v>
      </c>
      <c r="J43" s="190">
        <f>Februari!N43</f>
        <v>0</v>
      </c>
      <c r="K43" s="164"/>
      <c r="L43" s="29"/>
      <c r="M43" s="30"/>
      <c r="N43" s="29"/>
      <c r="O43" s="165"/>
      <c r="P43" s="30"/>
    </row>
    <row r="44" spans="1:16" s="3" customFormat="1" ht="22.5" customHeight="1">
      <c r="A44" s="14">
        <v>2</v>
      </c>
      <c r="B44" s="14">
        <v>8</v>
      </c>
      <c r="C44" s="14">
        <v>1</v>
      </c>
      <c r="D44" s="15" t="s">
        <v>116</v>
      </c>
      <c r="E44" s="14">
        <v>6</v>
      </c>
      <c r="F44" s="166" t="s">
        <v>119</v>
      </c>
      <c r="G44" s="17">
        <v>89944000</v>
      </c>
      <c r="H44" s="18">
        <f t="shared" si="9"/>
        <v>6.0321791487136667E-3</v>
      </c>
      <c r="I44" s="21">
        <f>Februari!M44</f>
        <v>0</v>
      </c>
      <c r="J44" s="190">
        <f>Februari!N44</f>
        <v>0</v>
      </c>
      <c r="K44" s="21"/>
      <c r="L44" s="20"/>
      <c r="M44" s="30"/>
      <c r="N44" s="29"/>
      <c r="O44" s="22"/>
      <c r="P44" s="21"/>
    </row>
    <row r="45" spans="1:16" s="106" customFormat="1" ht="22.5" customHeight="1">
      <c r="A45" s="5">
        <v>2</v>
      </c>
      <c r="B45" s="5">
        <v>8</v>
      </c>
      <c r="C45" s="5">
        <v>1</v>
      </c>
      <c r="D45" s="6" t="s">
        <v>23</v>
      </c>
      <c r="E45" s="5"/>
      <c r="F45" s="7" t="s">
        <v>3</v>
      </c>
      <c r="G45" s="45">
        <f>SUM(G46:G49)</f>
        <v>510041077</v>
      </c>
      <c r="H45" s="9">
        <f t="shared" si="9"/>
        <v>3.4206385636249913E-2</v>
      </c>
      <c r="I45" s="8">
        <f>Februari!M45</f>
        <v>52135000</v>
      </c>
      <c r="J45" s="11">
        <f>Februari!N45</f>
        <v>10.22172572974941</v>
      </c>
      <c r="K45" s="45">
        <f>SUM(K46:K49)</f>
        <v>26270000</v>
      </c>
      <c r="L45" s="12">
        <f t="shared" ref="L45:L53" si="10">K45/G45*100</f>
        <v>5.1505655494488733</v>
      </c>
      <c r="M45" s="8">
        <f t="shared" ref="M45:M53" si="11">I45+K45</f>
        <v>78405000</v>
      </c>
      <c r="N45" s="12">
        <f t="shared" ref="N45:N53" si="12">M45/G45*100</f>
        <v>15.372291279198283</v>
      </c>
      <c r="O45" s="13"/>
      <c r="P45" s="8">
        <f t="shared" ref="P45:P53" si="13">G45-M45</f>
        <v>431636077</v>
      </c>
    </row>
    <row r="46" spans="1:16" s="3" customFormat="1" ht="22.5" customHeight="1">
      <c r="A46" s="14">
        <v>2</v>
      </c>
      <c r="B46" s="14">
        <v>8</v>
      </c>
      <c r="C46" s="14">
        <v>1</v>
      </c>
      <c r="D46" s="15" t="s">
        <v>23</v>
      </c>
      <c r="E46" s="14">
        <v>1</v>
      </c>
      <c r="F46" s="16" t="s">
        <v>65</v>
      </c>
      <c r="G46" s="17">
        <v>1749600</v>
      </c>
      <c r="H46" s="18">
        <f t="shared" si="9"/>
        <v>1.1733857331883652E-4</v>
      </c>
      <c r="I46" s="21">
        <f>Februari!M46</f>
        <v>0</v>
      </c>
      <c r="J46" s="190">
        <f>Februari!N46</f>
        <v>0</v>
      </c>
      <c r="K46" s="21">
        <v>0</v>
      </c>
      <c r="L46" s="20">
        <f t="shared" si="10"/>
        <v>0</v>
      </c>
      <c r="M46" s="30">
        <f t="shared" si="11"/>
        <v>0</v>
      </c>
      <c r="N46" s="29">
        <f t="shared" si="12"/>
        <v>0</v>
      </c>
      <c r="O46" s="22"/>
      <c r="P46" s="21">
        <f t="shared" si="13"/>
        <v>1749600</v>
      </c>
    </row>
    <row r="47" spans="1:16" s="3" customFormat="1" ht="22.5" customHeight="1">
      <c r="A47" s="14">
        <v>2</v>
      </c>
      <c r="B47" s="14">
        <v>8</v>
      </c>
      <c r="C47" s="14">
        <v>1</v>
      </c>
      <c r="D47" s="15" t="s">
        <v>23</v>
      </c>
      <c r="E47" s="14">
        <v>2</v>
      </c>
      <c r="F47" s="16" t="s">
        <v>66</v>
      </c>
      <c r="G47" s="17">
        <v>114691477</v>
      </c>
      <c r="H47" s="18">
        <f t="shared" si="9"/>
        <v>7.6918920227538592E-3</v>
      </c>
      <c r="I47" s="21">
        <f>Februari!M47</f>
        <v>0</v>
      </c>
      <c r="J47" s="190">
        <f>Februari!N47</f>
        <v>0</v>
      </c>
      <c r="K47" s="21">
        <v>0</v>
      </c>
      <c r="L47" s="20">
        <f t="shared" si="10"/>
        <v>0</v>
      </c>
      <c r="M47" s="30">
        <f t="shared" si="11"/>
        <v>0</v>
      </c>
      <c r="N47" s="29">
        <f t="shared" si="12"/>
        <v>0</v>
      </c>
      <c r="O47" s="22"/>
      <c r="P47" s="21">
        <f t="shared" si="13"/>
        <v>114691477</v>
      </c>
    </row>
    <row r="48" spans="1:16" s="3" customFormat="1" ht="22.5" customHeight="1">
      <c r="A48" s="14">
        <v>2</v>
      </c>
      <c r="B48" s="14">
        <v>8</v>
      </c>
      <c r="C48" s="14">
        <v>1</v>
      </c>
      <c r="D48" s="15" t="s">
        <v>23</v>
      </c>
      <c r="E48" s="14">
        <v>3</v>
      </c>
      <c r="F48" s="16" t="s">
        <v>67</v>
      </c>
      <c r="G48" s="17">
        <v>36800000</v>
      </c>
      <c r="H48" s="18">
        <f t="shared" si="9"/>
        <v>2.4680266907482762E-3</v>
      </c>
      <c r="I48" s="21">
        <f>Februari!M48</f>
        <v>0</v>
      </c>
      <c r="J48" s="190">
        <f>Februari!N48</f>
        <v>0</v>
      </c>
      <c r="K48" s="21">
        <v>0</v>
      </c>
      <c r="L48" s="20">
        <f t="shared" si="10"/>
        <v>0</v>
      </c>
      <c r="M48" s="30">
        <f t="shared" si="11"/>
        <v>0</v>
      </c>
      <c r="N48" s="29">
        <f t="shared" si="12"/>
        <v>0</v>
      </c>
      <c r="O48" s="22"/>
      <c r="P48" s="21">
        <f t="shared" si="13"/>
        <v>36800000</v>
      </c>
    </row>
    <row r="49" spans="1:16" s="3" customFormat="1" ht="22.5" customHeight="1">
      <c r="A49" s="14">
        <v>2</v>
      </c>
      <c r="B49" s="14">
        <v>8</v>
      </c>
      <c r="C49" s="14">
        <v>1</v>
      </c>
      <c r="D49" s="15" t="s">
        <v>23</v>
      </c>
      <c r="E49" s="14">
        <v>4</v>
      </c>
      <c r="F49" s="16" t="s">
        <v>68</v>
      </c>
      <c r="G49" s="17">
        <v>356800000</v>
      </c>
      <c r="H49" s="18">
        <f t="shared" si="9"/>
        <v>2.3929128349428938E-2</v>
      </c>
      <c r="I49" s="21">
        <f>Februari!M49</f>
        <v>52135000</v>
      </c>
      <c r="J49" s="190">
        <f>Februari!N49</f>
        <v>14.61182735426009</v>
      </c>
      <c r="K49" s="24">
        <f>26000000+270000</f>
        <v>26270000</v>
      </c>
      <c r="L49" s="20">
        <f t="shared" si="10"/>
        <v>7.3626681614349776</v>
      </c>
      <c r="M49" s="21">
        <f t="shared" si="11"/>
        <v>78405000</v>
      </c>
      <c r="N49" s="20">
        <f t="shared" si="12"/>
        <v>21.974495515695068</v>
      </c>
      <c r="O49" s="22"/>
      <c r="P49" s="21">
        <f t="shared" si="13"/>
        <v>278395000</v>
      </c>
    </row>
    <row r="50" spans="1:16" s="106" customFormat="1" ht="22.5" customHeight="1">
      <c r="A50" s="5">
        <v>2</v>
      </c>
      <c r="B50" s="5">
        <v>8</v>
      </c>
      <c r="C50" s="5">
        <v>1</v>
      </c>
      <c r="D50" s="6" t="s">
        <v>22</v>
      </c>
      <c r="E50" s="5"/>
      <c r="F50" s="7" t="s">
        <v>21</v>
      </c>
      <c r="G50" s="26">
        <f>SUM(G51:G53)</f>
        <v>316034000</v>
      </c>
      <c r="H50" s="9">
        <f t="shared" si="9"/>
        <v>2.1195118129998389E-2</v>
      </c>
      <c r="I50" s="8">
        <f>Februari!M50</f>
        <v>0</v>
      </c>
      <c r="J50" s="11">
        <f>Februari!N50</f>
        <v>0</v>
      </c>
      <c r="K50" s="26">
        <f>SUM(K51:K53)</f>
        <v>0</v>
      </c>
      <c r="L50" s="108">
        <f t="shared" si="10"/>
        <v>0</v>
      </c>
      <c r="M50" s="8">
        <f t="shared" si="11"/>
        <v>0</v>
      </c>
      <c r="N50" s="12">
        <f t="shared" si="12"/>
        <v>0</v>
      </c>
      <c r="O50" s="13"/>
      <c r="P50" s="8">
        <f t="shared" si="13"/>
        <v>316034000</v>
      </c>
    </row>
    <row r="51" spans="1:16" s="3" customFormat="1" ht="31.5" customHeight="1">
      <c r="A51" s="14">
        <v>2</v>
      </c>
      <c r="B51" s="14">
        <v>8</v>
      </c>
      <c r="C51" s="14">
        <v>1</v>
      </c>
      <c r="D51" s="15" t="s">
        <v>22</v>
      </c>
      <c r="E51" s="14">
        <v>1</v>
      </c>
      <c r="F51" s="16" t="s">
        <v>69</v>
      </c>
      <c r="G51" s="25">
        <v>205390000</v>
      </c>
      <c r="H51" s="18">
        <f t="shared" si="9"/>
        <v>1.3774673967738816E-2</v>
      </c>
      <c r="I51" s="21">
        <f>Februari!M51</f>
        <v>0</v>
      </c>
      <c r="J51" s="190">
        <f>Februari!N51</f>
        <v>0</v>
      </c>
      <c r="K51" s="21">
        <v>0</v>
      </c>
      <c r="L51" s="20">
        <f t="shared" si="10"/>
        <v>0</v>
      </c>
      <c r="M51" s="30">
        <f t="shared" si="11"/>
        <v>0</v>
      </c>
      <c r="N51" s="29">
        <f t="shared" si="12"/>
        <v>0</v>
      </c>
      <c r="O51" s="22"/>
      <c r="P51" s="21">
        <f t="shared" si="13"/>
        <v>205390000</v>
      </c>
    </row>
    <row r="52" spans="1:16" s="3" customFormat="1" ht="22.5" customHeight="1">
      <c r="A52" s="14">
        <v>2</v>
      </c>
      <c r="B52" s="14">
        <v>8</v>
      </c>
      <c r="C52" s="14">
        <v>1</v>
      </c>
      <c r="D52" s="15" t="s">
        <v>22</v>
      </c>
      <c r="E52" s="14">
        <v>6</v>
      </c>
      <c r="F52" s="16" t="s">
        <v>70</v>
      </c>
      <c r="G52" s="25">
        <v>23440000</v>
      </c>
      <c r="H52" s="18">
        <f t="shared" si="9"/>
        <v>1.5720256964983585E-3</v>
      </c>
      <c r="I52" s="21">
        <f>Februari!M52</f>
        <v>0</v>
      </c>
      <c r="J52" s="190">
        <f>Februari!N52</f>
        <v>0</v>
      </c>
      <c r="K52" s="21">
        <v>0</v>
      </c>
      <c r="L52" s="20">
        <f t="shared" si="10"/>
        <v>0</v>
      </c>
      <c r="M52" s="30">
        <f t="shared" si="11"/>
        <v>0</v>
      </c>
      <c r="N52" s="29">
        <f t="shared" si="12"/>
        <v>0</v>
      </c>
      <c r="O52" s="22"/>
      <c r="P52" s="21">
        <f t="shared" si="13"/>
        <v>23440000</v>
      </c>
    </row>
    <row r="53" spans="1:16" s="3" customFormat="1" ht="22.5" customHeight="1">
      <c r="A53" s="14">
        <v>2</v>
      </c>
      <c r="B53" s="14">
        <v>8</v>
      </c>
      <c r="C53" s="14">
        <v>1</v>
      </c>
      <c r="D53" s="15" t="s">
        <v>22</v>
      </c>
      <c r="E53" s="14">
        <v>9</v>
      </c>
      <c r="F53" s="16" t="s">
        <v>88</v>
      </c>
      <c r="G53" s="25">
        <v>87204000</v>
      </c>
      <c r="H53" s="18">
        <f t="shared" si="9"/>
        <v>5.8484184657612136E-3</v>
      </c>
      <c r="I53" s="21">
        <f>Februari!M53</f>
        <v>0</v>
      </c>
      <c r="J53" s="190">
        <f>Februari!N53</f>
        <v>0</v>
      </c>
      <c r="K53" s="21">
        <v>0</v>
      </c>
      <c r="L53" s="20">
        <f t="shared" si="10"/>
        <v>0</v>
      </c>
      <c r="M53" s="30">
        <f t="shared" si="11"/>
        <v>0</v>
      </c>
      <c r="N53" s="29">
        <f t="shared" si="12"/>
        <v>0</v>
      </c>
      <c r="O53" s="22"/>
      <c r="P53" s="21">
        <f t="shared" si="13"/>
        <v>87204000</v>
      </c>
    </row>
    <row r="54" spans="1:16" s="146" customFormat="1" ht="31.5" customHeight="1">
      <c r="A54" s="130"/>
      <c r="B54" s="130"/>
      <c r="C54" s="130"/>
      <c r="D54" s="131"/>
      <c r="E54" s="130"/>
      <c r="F54" s="140" t="s">
        <v>108</v>
      </c>
      <c r="G54" s="144">
        <f>G55+G67+G72</f>
        <v>637720000</v>
      </c>
      <c r="H54" s="132"/>
      <c r="I54" s="138">
        <f>Februari!M54</f>
        <v>0</v>
      </c>
      <c r="J54" s="134">
        <f>Februari!N54</f>
        <v>0</v>
      </c>
      <c r="K54" s="136"/>
      <c r="L54" s="135"/>
      <c r="M54" s="138"/>
      <c r="N54" s="139"/>
      <c r="O54" s="143"/>
      <c r="P54" s="136"/>
    </row>
    <row r="55" spans="1:16" s="49" customFormat="1" ht="22.5" customHeight="1">
      <c r="A55" s="36">
        <v>2</v>
      </c>
      <c r="B55" s="36">
        <v>8</v>
      </c>
      <c r="C55" s="36">
        <v>2</v>
      </c>
      <c r="D55" s="37"/>
      <c r="E55" s="36"/>
      <c r="F55" s="38" t="s">
        <v>20</v>
      </c>
      <c r="G55" s="46">
        <f>G56+G58</f>
        <v>328000000</v>
      </c>
      <c r="H55" s="40">
        <f>+G55/$G$119*100%</f>
        <v>2.1997629200147677E-2</v>
      </c>
      <c r="I55" s="39">
        <f>Februari!M55</f>
        <v>0</v>
      </c>
      <c r="J55" s="42">
        <f>Februari!N55</f>
        <v>0</v>
      </c>
      <c r="K55" s="46">
        <f>K56</f>
        <v>0</v>
      </c>
      <c r="L55" s="43">
        <f>K55/G55*100</f>
        <v>0</v>
      </c>
      <c r="M55" s="39">
        <f>I55+K55</f>
        <v>0</v>
      </c>
      <c r="N55" s="43">
        <f>M55/G55*100</f>
        <v>0</v>
      </c>
      <c r="O55" s="44"/>
      <c r="P55" s="39">
        <f>G55-M55</f>
        <v>328000000</v>
      </c>
    </row>
    <row r="56" spans="1:16" s="106" customFormat="1" ht="31.5" customHeight="1">
      <c r="A56" s="5">
        <v>2</v>
      </c>
      <c r="B56" s="5">
        <v>8</v>
      </c>
      <c r="C56" s="5">
        <v>2</v>
      </c>
      <c r="D56" s="6" t="s">
        <v>8</v>
      </c>
      <c r="E56" s="5"/>
      <c r="F56" s="7" t="s">
        <v>19</v>
      </c>
      <c r="G56" s="45">
        <f>SUM(G57:G57)</f>
        <v>133000000</v>
      </c>
      <c r="H56" s="9">
        <f>+G56/$G$119*100%</f>
        <v>8.9197703768891506E-3</v>
      </c>
      <c r="I56" s="8">
        <f>Februari!M56</f>
        <v>0</v>
      </c>
      <c r="J56" s="11">
        <f>Februari!N56</f>
        <v>0</v>
      </c>
      <c r="K56" s="45">
        <f>SUM(K57:K57)</f>
        <v>0</v>
      </c>
      <c r="L56" s="12">
        <f>K56/G56*100</f>
        <v>0</v>
      </c>
      <c r="M56" s="8">
        <f>I56+K56</f>
        <v>0</v>
      </c>
      <c r="N56" s="12">
        <f>M56/G56*100</f>
        <v>0</v>
      </c>
      <c r="O56" s="13"/>
      <c r="P56" s="8">
        <f>G56-M56</f>
        <v>133000000</v>
      </c>
    </row>
    <row r="57" spans="1:16" s="3" customFormat="1" ht="30" customHeight="1">
      <c r="A57" s="14">
        <v>2</v>
      </c>
      <c r="B57" s="14">
        <v>8</v>
      </c>
      <c r="C57" s="14">
        <v>2</v>
      </c>
      <c r="D57" s="15" t="s">
        <v>8</v>
      </c>
      <c r="E57" s="14">
        <v>7</v>
      </c>
      <c r="F57" s="166" t="s">
        <v>145</v>
      </c>
      <c r="G57" s="17">
        <v>133000000</v>
      </c>
      <c r="H57" s="18">
        <f>+G57/$G$119*100%</f>
        <v>8.9197703768891506E-3</v>
      </c>
      <c r="I57" s="21">
        <f>Februari!M57</f>
        <v>0</v>
      </c>
      <c r="J57" s="190">
        <f>Februari!N57</f>
        <v>0</v>
      </c>
      <c r="K57" s="21">
        <v>0</v>
      </c>
      <c r="L57" s="20">
        <f>K57/G57*100</f>
        <v>0</v>
      </c>
      <c r="M57" s="30">
        <f>I57+K57</f>
        <v>0</v>
      </c>
      <c r="N57" s="29">
        <f>M57/G57*100</f>
        <v>0</v>
      </c>
      <c r="O57" s="22"/>
      <c r="P57" s="21">
        <f>G57-M57</f>
        <v>133000000</v>
      </c>
    </row>
    <row r="58" spans="1:16" s="3" customFormat="1" ht="36" customHeight="1">
      <c r="A58" s="5">
        <v>2</v>
      </c>
      <c r="B58" s="5">
        <v>8</v>
      </c>
      <c r="C58" s="5">
        <v>2</v>
      </c>
      <c r="D58" s="6" t="s">
        <v>7</v>
      </c>
      <c r="E58" s="5"/>
      <c r="F58" s="7" t="s">
        <v>146</v>
      </c>
      <c r="G58" s="45">
        <f>SUM(G59:G59)</f>
        <v>195000000</v>
      </c>
      <c r="H58" s="9">
        <f>+G58/$G$119*100%</f>
        <v>1.3077858823258529E-2</v>
      </c>
      <c r="I58" s="8">
        <f>Februari!M58</f>
        <v>0</v>
      </c>
      <c r="J58" s="11">
        <f>Februari!N58</f>
        <v>0</v>
      </c>
      <c r="K58" s="45">
        <f>SUM(K59:K59)</f>
        <v>0</v>
      </c>
      <c r="L58" s="12">
        <f>K58/G58*100</f>
        <v>0</v>
      </c>
      <c r="M58" s="8">
        <f>I58+K58</f>
        <v>0</v>
      </c>
      <c r="N58" s="12">
        <f>M58/G58*100</f>
        <v>0</v>
      </c>
      <c r="O58" s="13"/>
      <c r="P58" s="8">
        <f>G58-M58</f>
        <v>195000000</v>
      </c>
    </row>
    <row r="59" spans="1:16" s="3" customFormat="1" ht="34.5" customHeight="1">
      <c r="A59" s="14">
        <v>2</v>
      </c>
      <c r="B59" s="14">
        <v>8</v>
      </c>
      <c r="C59" s="14">
        <v>2</v>
      </c>
      <c r="D59" s="15" t="s">
        <v>7</v>
      </c>
      <c r="E59" s="14">
        <v>2</v>
      </c>
      <c r="F59" s="166" t="s">
        <v>147</v>
      </c>
      <c r="G59" s="17">
        <v>195000000</v>
      </c>
      <c r="H59" s="18">
        <f>+G59/$G$119*100%</f>
        <v>1.3077858823258529E-2</v>
      </c>
      <c r="I59" s="21">
        <f>Februari!M59</f>
        <v>0</v>
      </c>
      <c r="J59" s="190">
        <f>Februari!N59</f>
        <v>0</v>
      </c>
      <c r="K59" s="21">
        <v>0</v>
      </c>
      <c r="L59" s="20">
        <f>K59/G59*100</f>
        <v>0</v>
      </c>
      <c r="M59" s="30">
        <f>I59+K59</f>
        <v>0</v>
      </c>
      <c r="N59" s="29">
        <f>M59/G59*100</f>
        <v>0</v>
      </c>
      <c r="O59" s="22"/>
      <c r="P59" s="21">
        <f>G59-M59</f>
        <v>195000000</v>
      </c>
    </row>
    <row r="60" spans="1:16" s="146" customFormat="1" ht="31.5" customHeight="1">
      <c r="A60" s="130"/>
      <c r="B60" s="130"/>
      <c r="C60" s="130"/>
      <c r="D60" s="131"/>
      <c r="E60" s="130"/>
      <c r="F60" s="140" t="s">
        <v>103</v>
      </c>
      <c r="G60" s="144">
        <f>G61</f>
        <v>389086600</v>
      </c>
      <c r="H60" s="132"/>
      <c r="I60" s="138">
        <f>Februari!M60</f>
        <v>0</v>
      </c>
      <c r="J60" s="134">
        <f>Februari!N60</f>
        <v>0</v>
      </c>
      <c r="K60" s="136"/>
      <c r="L60" s="135"/>
      <c r="M60" s="138"/>
      <c r="N60" s="139"/>
      <c r="O60" s="143"/>
      <c r="P60" s="136"/>
    </row>
    <row r="61" spans="1:16" s="49" customFormat="1" ht="22.5" customHeight="1">
      <c r="A61" s="36">
        <v>2</v>
      </c>
      <c r="B61" s="36">
        <v>8</v>
      </c>
      <c r="C61" s="36">
        <v>3</v>
      </c>
      <c r="D61" s="37"/>
      <c r="E61" s="36"/>
      <c r="F61" s="38" t="s">
        <v>2</v>
      </c>
      <c r="G61" s="47">
        <f>G62+G64</f>
        <v>389086600</v>
      </c>
      <c r="H61" s="40">
        <f t="shared" ref="H61:H74" si="14">+G61/$G$119*100%</f>
        <v>2.6094459614470062E-2</v>
      </c>
      <c r="I61" s="39">
        <f>Februari!M61</f>
        <v>0</v>
      </c>
      <c r="J61" s="42">
        <f>Februari!N61</f>
        <v>0</v>
      </c>
      <c r="K61" s="47">
        <f>K62+K64</f>
        <v>0</v>
      </c>
      <c r="L61" s="109">
        <f t="shared" ref="L61:L74" si="15">K61/G61*100</f>
        <v>0</v>
      </c>
      <c r="M61" s="39">
        <f t="shared" ref="M61:M74" si="16">I61+K61</f>
        <v>0</v>
      </c>
      <c r="N61" s="43">
        <f t="shared" ref="N61:N74" si="17">M61/G61*100</f>
        <v>0</v>
      </c>
      <c r="O61" s="44"/>
      <c r="P61" s="39">
        <f t="shared" ref="P61:P74" si="18">G61-M61</f>
        <v>389086600</v>
      </c>
    </row>
    <row r="62" spans="1:16" s="106" customFormat="1" ht="32.25" customHeight="1">
      <c r="A62" s="5">
        <v>2</v>
      </c>
      <c r="B62" s="5">
        <v>8</v>
      </c>
      <c r="C62" s="5">
        <v>3</v>
      </c>
      <c r="D62" s="6" t="s">
        <v>8</v>
      </c>
      <c r="E62" s="5"/>
      <c r="F62" s="7" t="s">
        <v>18</v>
      </c>
      <c r="G62" s="45">
        <f>G63</f>
        <v>183550000</v>
      </c>
      <c r="H62" s="9">
        <f t="shared" si="14"/>
        <v>1.2309953779533861E-2</v>
      </c>
      <c r="I62" s="8">
        <f>Februari!M62</f>
        <v>0</v>
      </c>
      <c r="J62" s="11">
        <f>Februari!N62</f>
        <v>0</v>
      </c>
      <c r="K62" s="45">
        <f>K63</f>
        <v>0</v>
      </c>
      <c r="L62" s="108">
        <f t="shared" si="15"/>
        <v>0</v>
      </c>
      <c r="M62" s="8">
        <f t="shared" si="16"/>
        <v>0</v>
      </c>
      <c r="N62" s="12">
        <f t="shared" si="17"/>
        <v>0</v>
      </c>
      <c r="O62" s="13"/>
      <c r="P62" s="8">
        <f t="shared" si="18"/>
        <v>183550000</v>
      </c>
    </row>
    <row r="63" spans="1:16" s="3" customFormat="1" ht="32.25" customHeight="1">
      <c r="A63" s="14">
        <v>2</v>
      </c>
      <c r="B63" s="14">
        <v>8</v>
      </c>
      <c r="C63" s="14">
        <v>3</v>
      </c>
      <c r="D63" s="15" t="s">
        <v>8</v>
      </c>
      <c r="E63" s="14">
        <v>1</v>
      </c>
      <c r="F63" s="16" t="s">
        <v>71</v>
      </c>
      <c r="G63" s="17">
        <v>183550000</v>
      </c>
      <c r="H63" s="18">
        <f t="shared" si="14"/>
        <v>1.2309953779533861E-2</v>
      </c>
      <c r="I63" s="21">
        <f>Februari!M63</f>
        <v>0</v>
      </c>
      <c r="J63" s="190">
        <f>Februari!N63</f>
        <v>0</v>
      </c>
      <c r="K63" s="21">
        <v>0</v>
      </c>
      <c r="L63" s="20">
        <f t="shared" si="15"/>
        <v>0</v>
      </c>
      <c r="M63" s="30">
        <f t="shared" si="16"/>
        <v>0</v>
      </c>
      <c r="N63" s="29">
        <f t="shared" si="17"/>
        <v>0</v>
      </c>
      <c r="O63" s="22"/>
      <c r="P63" s="21">
        <f t="shared" si="18"/>
        <v>183550000</v>
      </c>
    </row>
    <row r="64" spans="1:16" s="106" customFormat="1" ht="32.25" customHeight="1">
      <c r="A64" s="5">
        <v>2</v>
      </c>
      <c r="B64" s="5">
        <v>8</v>
      </c>
      <c r="C64" s="5">
        <v>3</v>
      </c>
      <c r="D64" s="6" t="s">
        <v>14</v>
      </c>
      <c r="E64" s="5"/>
      <c r="F64" s="7" t="s">
        <v>17</v>
      </c>
      <c r="G64" s="45">
        <f>G65+G66</f>
        <v>205536600</v>
      </c>
      <c r="H64" s="9">
        <f t="shared" si="14"/>
        <v>1.3784505834936199E-2</v>
      </c>
      <c r="I64" s="8">
        <f>Februari!M64</f>
        <v>0</v>
      </c>
      <c r="J64" s="11">
        <f>Februari!N64</f>
        <v>0</v>
      </c>
      <c r="K64" s="45">
        <f>K65+K66</f>
        <v>0</v>
      </c>
      <c r="L64" s="108">
        <f t="shared" si="15"/>
        <v>0</v>
      </c>
      <c r="M64" s="8">
        <f t="shared" si="16"/>
        <v>0</v>
      </c>
      <c r="N64" s="12">
        <f t="shared" si="17"/>
        <v>0</v>
      </c>
      <c r="O64" s="13"/>
      <c r="P64" s="8">
        <f t="shared" si="18"/>
        <v>205536600</v>
      </c>
    </row>
    <row r="65" spans="1:16" s="3" customFormat="1" ht="32.25" customHeight="1">
      <c r="A65" s="14">
        <v>2</v>
      </c>
      <c r="B65" s="14">
        <v>8</v>
      </c>
      <c r="C65" s="14">
        <v>3</v>
      </c>
      <c r="D65" s="15" t="s">
        <v>14</v>
      </c>
      <c r="E65" s="14">
        <v>2</v>
      </c>
      <c r="F65" s="16" t="s">
        <v>72</v>
      </c>
      <c r="G65" s="17">
        <v>138961600</v>
      </c>
      <c r="H65" s="18">
        <f t="shared" si="14"/>
        <v>9.319590700790371E-3</v>
      </c>
      <c r="I65" s="21">
        <f>Februari!M65</f>
        <v>0</v>
      </c>
      <c r="J65" s="190">
        <f>Februari!N65</f>
        <v>0</v>
      </c>
      <c r="K65" s="21">
        <v>0</v>
      </c>
      <c r="L65" s="20">
        <f t="shared" si="15"/>
        <v>0</v>
      </c>
      <c r="M65" s="30">
        <f t="shared" si="16"/>
        <v>0</v>
      </c>
      <c r="N65" s="29">
        <f t="shared" si="17"/>
        <v>0</v>
      </c>
      <c r="O65" s="22"/>
      <c r="P65" s="21">
        <f t="shared" si="18"/>
        <v>138961600</v>
      </c>
    </row>
    <row r="66" spans="1:16" s="3" customFormat="1" ht="32.25" customHeight="1">
      <c r="A66" s="14">
        <v>2</v>
      </c>
      <c r="B66" s="14">
        <v>8</v>
      </c>
      <c r="C66" s="14">
        <v>3</v>
      </c>
      <c r="D66" s="15" t="s">
        <v>14</v>
      </c>
      <c r="E66" s="14">
        <v>3</v>
      </c>
      <c r="F66" s="16" t="s">
        <v>73</v>
      </c>
      <c r="G66" s="17">
        <v>66575000</v>
      </c>
      <c r="H66" s="18">
        <f t="shared" si="14"/>
        <v>4.464915134145828E-3</v>
      </c>
      <c r="I66" s="21">
        <f>Februari!M66</f>
        <v>0</v>
      </c>
      <c r="J66" s="190">
        <f>Februari!N66</f>
        <v>0</v>
      </c>
      <c r="K66" s="21">
        <v>0</v>
      </c>
      <c r="L66" s="20">
        <f t="shared" si="15"/>
        <v>0</v>
      </c>
      <c r="M66" s="30">
        <f t="shared" si="16"/>
        <v>0</v>
      </c>
      <c r="N66" s="29">
        <f t="shared" si="17"/>
        <v>0</v>
      </c>
      <c r="O66" s="22"/>
      <c r="P66" s="21">
        <f t="shared" si="18"/>
        <v>66575000</v>
      </c>
    </row>
    <row r="67" spans="1:16" s="49" customFormat="1" ht="26.25" customHeight="1">
      <c r="A67" s="36">
        <v>2</v>
      </c>
      <c r="B67" s="36">
        <v>8</v>
      </c>
      <c r="C67" s="36">
        <v>4</v>
      </c>
      <c r="D67" s="37"/>
      <c r="E67" s="36"/>
      <c r="F67" s="38" t="s">
        <v>111</v>
      </c>
      <c r="G67" s="46">
        <f>G68+G70</f>
        <v>284720000</v>
      </c>
      <c r="H67" s="40">
        <f t="shared" si="14"/>
        <v>1.9095015200811118E-2</v>
      </c>
      <c r="I67" s="39">
        <f>Februari!M67</f>
        <v>0</v>
      </c>
      <c r="J67" s="42">
        <f>Februari!N67</f>
        <v>0</v>
      </c>
      <c r="K67" s="46">
        <f>+K68</f>
        <v>0</v>
      </c>
      <c r="L67" s="109">
        <f t="shared" si="15"/>
        <v>0</v>
      </c>
      <c r="M67" s="39">
        <f t="shared" si="16"/>
        <v>0</v>
      </c>
      <c r="N67" s="43">
        <f t="shared" si="17"/>
        <v>0</v>
      </c>
      <c r="O67" s="48"/>
      <c r="P67" s="39">
        <f t="shared" si="18"/>
        <v>284720000</v>
      </c>
    </row>
    <row r="68" spans="1:16" s="106" customFormat="1" ht="35.25" customHeight="1">
      <c r="A68" s="5">
        <v>2</v>
      </c>
      <c r="B68" s="5">
        <v>8</v>
      </c>
      <c r="C68" s="5">
        <v>4</v>
      </c>
      <c r="D68" s="6" t="s">
        <v>8</v>
      </c>
      <c r="E68" s="5"/>
      <c r="F68" s="167" t="s">
        <v>121</v>
      </c>
      <c r="G68" s="45">
        <f>G69</f>
        <v>234720000</v>
      </c>
      <c r="H68" s="9">
        <f t="shared" si="14"/>
        <v>1.5741718066642266E-2</v>
      </c>
      <c r="I68" s="8">
        <f>Februari!M68</f>
        <v>0</v>
      </c>
      <c r="J68" s="11">
        <f>Februari!N68</f>
        <v>0</v>
      </c>
      <c r="K68" s="45">
        <f>K69+K74</f>
        <v>0</v>
      </c>
      <c r="L68" s="108">
        <f t="shared" si="15"/>
        <v>0</v>
      </c>
      <c r="M68" s="8">
        <f t="shared" si="16"/>
        <v>0</v>
      </c>
      <c r="N68" s="12">
        <f t="shared" si="17"/>
        <v>0</v>
      </c>
      <c r="O68" s="13"/>
      <c r="P68" s="8">
        <f t="shared" si="18"/>
        <v>234720000</v>
      </c>
    </row>
    <row r="69" spans="1:16" s="3" customFormat="1" ht="34.5" customHeight="1">
      <c r="A69" s="14">
        <v>2</v>
      </c>
      <c r="B69" s="14">
        <v>8</v>
      </c>
      <c r="C69" s="14">
        <v>4</v>
      </c>
      <c r="D69" s="15" t="s">
        <v>8</v>
      </c>
      <c r="E69" s="14">
        <v>3</v>
      </c>
      <c r="F69" s="166" t="s">
        <v>148</v>
      </c>
      <c r="G69" s="17">
        <v>234720000</v>
      </c>
      <c r="H69" s="18">
        <f t="shared" si="14"/>
        <v>1.5741718066642266E-2</v>
      </c>
      <c r="I69" s="21">
        <f>Februari!M69</f>
        <v>0</v>
      </c>
      <c r="J69" s="190">
        <f>Februari!N69</f>
        <v>0</v>
      </c>
      <c r="K69" s="21">
        <v>0</v>
      </c>
      <c r="L69" s="20">
        <f t="shared" si="15"/>
        <v>0</v>
      </c>
      <c r="M69" s="30">
        <f t="shared" si="16"/>
        <v>0</v>
      </c>
      <c r="N69" s="29">
        <f t="shared" si="17"/>
        <v>0</v>
      </c>
      <c r="O69" s="22"/>
      <c r="P69" s="21">
        <f t="shared" si="18"/>
        <v>234720000</v>
      </c>
    </row>
    <row r="70" spans="1:16" s="3" customFormat="1" ht="36" customHeight="1">
      <c r="A70" s="5">
        <v>2</v>
      </c>
      <c r="B70" s="5">
        <v>8</v>
      </c>
      <c r="C70" s="5">
        <v>4</v>
      </c>
      <c r="D70" s="6" t="s">
        <v>7</v>
      </c>
      <c r="E70" s="5"/>
      <c r="F70" s="167" t="s">
        <v>149</v>
      </c>
      <c r="G70" s="45">
        <f>G71</f>
        <v>50000000</v>
      </c>
      <c r="H70" s="9">
        <f t="shared" si="14"/>
        <v>3.3532971341688534E-3</v>
      </c>
      <c r="I70" s="8">
        <f>Februari!M70</f>
        <v>0</v>
      </c>
      <c r="J70" s="11">
        <f>Februari!N70</f>
        <v>0</v>
      </c>
      <c r="K70" s="45">
        <f>K71+K76</f>
        <v>0</v>
      </c>
      <c r="L70" s="108">
        <f t="shared" si="15"/>
        <v>0</v>
      </c>
      <c r="M70" s="8">
        <f t="shared" si="16"/>
        <v>0</v>
      </c>
      <c r="N70" s="12">
        <f t="shared" si="17"/>
        <v>0</v>
      </c>
      <c r="O70" s="13"/>
      <c r="P70" s="8">
        <f t="shared" si="18"/>
        <v>50000000</v>
      </c>
    </row>
    <row r="71" spans="1:16" s="3" customFormat="1" ht="32.25" customHeight="1">
      <c r="A71" s="14">
        <v>2</v>
      </c>
      <c r="B71" s="14">
        <v>8</v>
      </c>
      <c r="C71" s="14">
        <v>4</v>
      </c>
      <c r="D71" s="15" t="s">
        <v>7</v>
      </c>
      <c r="E71" s="14">
        <v>2</v>
      </c>
      <c r="F71" s="166" t="s">
        <v>150</v>
      </c>
      <c r="G71" s="17">
        <v>50000000</v>
      </c>
      <c r="H71" s="18">
        <f t="shared" si="14"/>
        <v>3.3532971341688534E-3</v>
      </c>
      <c r="I71" s="21">
        <f>Februari!M71</f>
        <v>0</v>
      </c>
      <c r="J71" s="190">
        <f>Februari!N71</f>
        <v>0</v>
      </c>
      <c r="K71" s="21">
        <v>0</v>
      </c>
      <c r="L71" s="20">
        <f t="shared" si="15"/>
        <v>0</v>
      </c>
      <c r="M71" s="30">
        <f t="shared" si="16"/>
        <v>0</v>
      </c>
      <c r="N71" s="29">
        <f t="shared" si="17"/>
        <v>0</v>
      </c>
      <c r="O71" s="22"/>
      <c r="P71" s="21">
        <f t="shared" si="18"/>
        <v>50000000</v>
      </c>
    </row>
    <row r="72" spans="1:16" s="3" customFormat="1" ht="32.25" customHeight="1">
      <c r="A72" s="36">
        <v>2</v>
      </c>
      <c r="B72" s="36">
        <v>8</v>
      </c>
      <c r="C72" s="36">
        <v>5</v>
      </c>
      <c r="D72" s="37"/>
      <c r="E72" s="36"/>
      <c r="F72" s="38" t="s">
        <v>151</v>
      </c>
      <c r="G72" s="46">
        <f>G73</f>
        <v>25000000</v>
      </c>
      <c r="H72" s="40">
        <f t="shared" si="14"/>
        <v>1.6766485670844267E-3</v>
      </c>
      <c r="I72" s="39">
        <f>Februari!M72</f>
        <v>0</v>
      </c>
      <c r="J72" s="42">
        <f>Februari!N72</f>
        <v>0</v>
      </c>
      <c r="K72" s="46">
        <f>+K73</f>
        <v>0</v>
      </c>
      <c r="L72" s="109">
        <f t="shared" si="15"/>
        <v>0</v>
      </c>
      <c r="M72" s="39">
        <f t="shared" si="16"/>
        <v>0</v>
      </c>
      <c r="N72" s="43">
        <f t="shared" si="17"/>
        <v>0</v>
      </c>
      <c r="O72" s="48"/>
      <c r="P72" s="39">
        <f t="shared" si="18"/>
        <v>25000000</v>
      </c>
    </row>
    <row r="73" spans="1:16" s="3" customFormat="1" ht="32.25" customHeight="1">
      <c r="A73" s="5">
        <v>2</v>
      </c>
      <c r="B73" s="5">
        <v>8</v>
      </c>
      <c r="C73" s="5">
        <v>5</v>
      </c>
      <c r="D73" s="6" t="s">
        <v>8</v>
      </c>
      <c r="E73" s="5"/>
      <c r="F73" s="167" t="s">
        <v>152</v>
      </c>
      <c r="G73" s="45">
        <f>G74</f>
        <v>25000000</v>
      </c>
      <c r="H73" s="9">
        <f t="shared" si="14"/>
        <v>1.6766485670844267E-3</v>
      </c>
      <c r="I73" s="8">
        <f>Februari!M73</f>
        <v>0</v>
      </c>
      <c r="J73" s="11">
        <f>Februari!N73</f>
        <v>0</v>
      </c>
      <c r="K73" s="45">
        <f>K74+K79</f>
        <v>0</v>
      </c>
      <c r="L73" s="108">
        <f t="shared" si="15"/>
        <v>0</v>
      </c>
      <c r="M73" s="8">
        <f t="shared" si="16"/>
        <v>0</v>
      </c>
      <c r="N73" s="12">
        <f t="shared" si="17"/>
        <v>0</v>
      </c>
      <c r="O73" s="13"/>
      <c r="P73" s="8">
        <f t="shared" si="18"/>
        <v>25000000</v>
      </c>
    </row>
    <row r="74" spans="1:16" s="3" customFormat="1" ht="30.75" customHeight="1">
      <c r="A74" s="14">
        <v>2</v>
      </c>
      <c r="B74" s="14">
        <v>8</v>
      </c>
      <c r="C74" s="14">
        <v>5</v>
      </c>
      <c r="D74" s="15" t="s">
        <v>8</v>
      </c>
      <c r="E74" s="14">
        <v>3</v>
      </c>
      <c r="F74" s="166" t="s">
        <v>153</v>
      </c>
      <c r="G74" s="17">
        <v>25000000</v>
      </c>
      <c r="H74" s="18">
        <f t="shared" si="14"/>
        <v>1.6766485670844267E-3</v>
      </c>
      <c r="I74" s="21">
        <f>Februari!M74</f>
        <v>0</v>
      </c>
      <c r="J74" s="190">
        <f>Februari!N74</f>
        <v>0</v>
      </c>
      <c r="K74" s="21">
        <v>0</v>
      </c>
      <c r="L74" s="20">
        <f t="shared" si="15"/>
        <v>0</v>
      </c>
      <c r="M74" s="30">
        <f t="shared" si="16"/>
        <v>0</v>
      </c>
      <c r="N74" s="29">
        <f t="shared" si="17"/>
        <v>0</v>
      </c>
      <c r="O74" s="22"/>
      <c r="P74" s="21">
        <f t="shared" si="18"/>
        <v>25000000</v>
      </c>
    </row>
    <row r="75" spans="1:16" s="146" customFormat="1" ht="30" customHeight="1">
      <c r="A75" s="130"/>
      <c r="B75" s="130"/>
      <c r="C75" s="130"/>
      <c r="D75" s="131"/>
      <c r="E75" s="130"/>
      <c r="F75" s="140" t="s">
        <v>104</v>
      </c>
      <c r="G75" s="144">
        <f>G76</f>
        <v>429820700</v>
      </c>
      <c r="H75" s="132"/>
      <c r="I75" s="138">
        <f>Februari!M75</f>
        <v>0</v>
      </c>
      <c r="J75" s="134">
        <f>Februari!N75</f>
        <v>0</v>
      </c>
      <c r="K75" s="136"/>
      <c r="L75" s="135"/>
      <c r="M75" s="138"/>
      <c r="N75" s="139"/>
      <c r="O75" s="137"/>
      <c r="P75" s="136"/>
    </row>
    <row r="76" spans="1:16" s="49" customFormat="1" ht="23.25" customHeight="1">
      <c r="A76" s="36">
        <v>2</v>
      </c>
      <c r="B76" s="36">
        <v>8</v>
      </c>
      <c r="C76" s="36">
        <v>6</v>
      </c>
      <c r="D76" s="37"/>
      <c r="E76" s="36"/>
      <c r="F76" s="38" t="s">
        <v>16</v>
      </c>
      <c r="G76" s="46">
        <f>G77+G80</f>
        <v>429820700</v>
      </c>
      <c r="H76" s="40">
        <f t="shared" ref="H76:H81" si="19">+G76/$G$119*100%</f>
        <v>2.8826330430329009E-2</v>
      </c>
      <c r="I76" s="39">
        <f>Februari!M76</f>
        <v>0</v>
      </c>
      <c r="J76" s="42">
        <f>Februari!N76</f>
        <v>0</v>
      </c>
      <c r="K76" s="46">
        <f>+K77</f>
        <v>0</v>
      </c>
      <c r="L76" s="109">
        <f t="shared" ref="L76:L81" si="20">K76/G76*100</f>
        <v>0</v>
      </c>
      <c r="M76" s="39">
        <f t="shared" ref="M76:M81" si="21">I76+K76</f>
        <v>0</v>
      </c>
      <c r="N76" s="43">
        <f t="shared" ref="N76:N81" si="22">M76/G76*100</f>
        <v>0</v>
      </c>
      <c r="O76" s="44"/>
      <c r="P76" s="39">
        <f t="shared" ref="P76:P81" si="23">G76-M76</f>
        <v>429820700</v>
      </c>
    </row>
    <row r="77" spans="1:16" s="106" customFormat="1" ht="36" customHeight="1">
      <c r="A77" s="5">
        <v>2</v>
      </c>
      <c r="B77" s="5">
        <v>8</v>
      </c>
      <c r="C77" s="5">
        <v>6</v>
      </c>
      <c r="D77" s="6" t="s">
        <v>8</v>
      </c>
      <c r="E77" s="5"/>
      <c r="F77" s="7" t="s">
        <v>15</v>
      </c>
      <c r="G77" s="45">
        <f>G78+G79</f>
        <v>389820900</v>
      </c>
      <c r="H77" s="9">
        <f t="shared" si="19"/>
        <v>2.6143706136182464E-2</v>
      </c>
      <c r="I77" s="8">
        <f>Februari!M77</f>
        <v>0</v>
      </c>
      <c r="J77" s="11">
        <f>Februari!N77</f>
        <v>0</v>
      </c>
      <c r="K77" s="45">
        <f>K78+K79</f>
        <v>0</v>
      </c>
      <c r="L77" s="108">
        <f t="shared" si="20"/>
        <v>0</v>
      </c>
      <c r="M77" s="8">
        <f t="shared" si="21"/>
        <v>0</v>
      </c>
      <c r="N77" s="12">
        <f t="shared" si="22"/>
        <v>0</v>
      </c>
      <c r="O77" s="13"/>
      <c r="P77" s="8">
        <f t="shared" si="23"/>
        <v>389820900</v>
      </c>
    </row>
    <row r="78" spans="1:16" s="3" customFormat="1" ht="30" customHeight="1">
      <c r="A78" s="14">
        <v>2</v>
      </c>
      <c r="B78" s="14">
        <v>8</v>
      </c>
      <c r="C78" s="14">
        <v>6</v>
      </c>
      <c r="D78" s="15" t="s">
        <v>8</v>
      </c>
      <c r="E78" s="14">
        <v>2</v>
      </c>
      <c r="F78" s="166" t="s">
        <v>122</v>
      </c>
      <c r="G78" s="17">
        <v>201924900</v>
      </c>
      <c r="H78" s="18">
        <f t="shared" si="19"/>
        <v>1.3542283769746647E-2</v>
      </c>
      <c r="I78" s="21">
        <f>Februari!M78</f>
        <v>0</v>
      </c>
      <c r="J78" s="190">
        <f>Februari!N78</f>
        <v>0</v>
      </c>
      <c r="K78" s="21">
        <v>0</v>
      </c>
      <c r="L78" s="20">
        <f t="shared" si="20"/>
        <v>0</v>
      </c>
      <c r="M78" s="30">
        <f t="shared" si="21"/>
        <v>0</v>
      </c>
      <c r="N78" s="29">
        <f t="shared" si="22"/>
        <v>0</v>
      </c>
      <c r="O78" s="22"/>
      <c r="P78" s="21">
        <f t="shared" si="23"/>
        <v>201924900</v>
      </c>
    </row>
    <row r="79" spans="1:16" s="3" customFormat="1" ht="43.5" customHeight="1">
      <c r="A79" s="14">
        <v>2</v>
      </c>
      <c r="B79" s="14">
        <v>8</v>
      </c>
      <c r="C79" s="14">
        <v>6</v>
      </c>
      <c r="D79" s="15" t="s">
        <v>8</v>
      </c>
      <c r="E79" s="14">
        <v>3</v>
      </c>
      <c r="F79" s="166" t="s">
        <v>123</v>
      </c>
      <c r="G79" s="17">
        <v>187896000</v>
      </c>
      <c r="H79" s="18">
        <f t="shared" si="19"/>
        <v>1.2601422366435818E-2</v>
      </c>
      <c r="I79" s="21">
        <f>Februari!M79</f>
        <v>0</v>
      </c>
      <c r="J79" s="190">
        <f>Februari!N79</f>
        <v>0</v>
      </c>
      <c r="K79" s="21">
        <v>0</v>
      </c>
      <c r="L79" s="20">
        <f t="shared" si="20"/>
        <v>0</v>
      </c>
      <c r="M79" s="30">
        <f t="shared" si="21"/>
        <v>0</v>
      </c>
      <c r="N79" s="29">
        <f t="shared" si="22"/>
        <v>0</v>
      </c>
      <c r="O79" s="22"/>
      <c r="P79" s="21">
        <f t="shared" si="23"/>
        <v>187896000</v>
      </c>
    </row>
    <row r="80" spans="1:16" s="3" customFormat="1" ht="33.75" customHeight="1">
      <c r="A80" s="5">
        <v>2</v>
      </c>
      <c r="B80" s="5">
        <v>8</v>
      </c>
      <c r="C80" s="5">
        <v>6</v>
      </c>
      <c r="D80" s="6" t="s">
        <v>7</v>
      </c>
      <c r="E80" s="5"/>
      <c r="F80" s="167" t="s">
        <v>124</v>
      </c>
      <c r="G80" s="45">
        <f>G81</f>
        <v>39999800</v>
      </c>
      <c r="H80" s="9">
        <f t="shared" si="19"/>
        <v>2.6826242941465463E-3</v>
      </c>
      <c r="I80" s="8">
        <f>Februari!M80</f>
        <v>0</v>
      </c>
      <c r="J80" s="11">
        <f>Februari!N80</f>
        <v>0</v>
      </c>
      <c r="K80" s="45">
        <f>K81+K82</f>
        <v>0</v>
      </c>
      <c r="L80" s="108">
        <f t="shared" si="20"/>
        <v>0</v>
      </c>
      <c r="M80" s="8">
        <f t="shared" si="21"/>
        <v>0</v>
      </c>
      <c r="N80" s="12">
        <f t="shared" si="22"/>
        <v>0</v>
      </c>
      <c r="O80" s="13"/>
      <c r="P80" s="8">
        <f t="shared" si="23"/>
        <v>39999800</v>
      </c>
    </row>
    <row r="81" spans="1:16" s="3" customFormat="1" ht="27.75" customHeight="1">
      <c r="A81" s="14">
        <v>2</v>
      </c>
      <c r="B81" s="14">
        <v>8</v>
      </c>
      <c r="C81" s="14">
        <v>6</v>
      </c>
      <c r="D81" s="15" t="s">
        <v>7</v>
      </c>
      <c r="E81" s="14">
        <v>6</v>
      </c>
      <c r="F81" s="166" t="s">
        <v>125</v>
      </c>
      <c r="G81" s="17">
        <v>39999800</v>
      </c>
      <c r="H81" s="18">
        <f t="shared" si="19"/>
        <v>2.6826242941465463E-3</v>
      </c>
      <c r="I81" s="30">
        <f>Februari!M81</f>
        <v>0</v>
      </c>
      <c r="J81" s="28">
        <f>Februari!N81</f>
        <v>0</v>
      </c>
      <c r="K81" s="30">
        <v>0</v>
      </c>
      <c r="L81" s="20">
        <f t="shared" si="20"/>
        <v>0</v>
      </c>
      <c r="M81" s="30">
        <f t="shared" si="21"/>
        <v>0</v>
      </c>
      <c r="N81" s="29">
        <f t="shared" si="22"/>
        <v>0</v>
      </c>
      <c r="O81" s="22"/>
      <c r="P81" s="21">
        <f t="shared" si="23"/>
        <v>39999800</v>
      </c>
    </row>
    <row r="82" spans="1:16" s="3" customFormat="1" ht="30" customHeight="1">
      <c r="A82" s="130"/>
      <c r="B82" s="130"/>
      <c r="C82" s="130"/>
      <c r="D82" s="131"/>
      <c r="E82" s="130"/>
      <c r="F82" s="140" t="s">
        <v>105</v>
      </c>
      <c r="G82" s="144">
        <f>G83</f>
        <v>690942900</v>
      </c>
      <c r="H82" s="132"/>
      <c r="I82" s="138">
        <f>Februari!M82</f>
        <v>0</v>
      </c>
      <c r="J82" s="134">
        <f>Februari!N82</f>
        <v>0</v>
      </c>
      <c r="K82" s="136"/>
      <c r="L82" s="135"/>
      <c r="M82" s="138"/>
      <c r="N82" s="139"/>
      <c r="O82" s="143"/>
      <c r="P82" s="136"/>
    </row>
    <row r="83" spans="1:16" s="49" customFormat="1" ht="27" customHeight="1">
      <c r="A83" s="36">
        <v>2</v>
      </c>
      <c r="B83" s="36">
        <v>8</v>
      </c>
      <c r="C83" s="36">
        <v>7</v>
      </c>
      <c r="D83" s="37"/>
      <c r="E83" s="36"/>
      <c r="F83" s="38" t="s">
        <v>94</v>
      </c>
      <c r="G83" s="46">
        <f>G84+G86</f>
        <v>690942900</v>
      </c>
      <c r="H83" s="40">
        <f>+G83/$G$119*100%</f>
        <v>4.6338736928886334E-2</v>
      </c>
      <c r="I83" s="39">
        <f>Februari!M83</f>
        <v>0</v>
      </c>
      <c r="J83" s="42">
        <f>Februari!N83</f>
        <v>0</v>
      </c>
      <c r="K83" s="46">
        <f>K84+K86</f>
        <v>0</v>
      </c>
      <c r="L83" s="109">
        <f>K83/G83*100</f>
        <v>0</v>
      </c>
      <c r="M83" s="39">
        <f>I83+K83</f>
        <v>0</v>
      </c>
      <c r="N83" s="43">
        <f>M83/G83*100</f>
        <v>0</v>
      </c>
      <c r="O83" s="44"/>
      <c r="P83" s="39">
        <f>G83-M83</f>
        <v>690942900</v>
      </c>
    </row>
    <row r="84" spans="1:16" s="106" customFormat="1" ht="40.5" customHeight="1">
      <c r="A84" s="5">
        <v>2</v>
      </c>
      <c r="B84" s="5">
        <v>8</v>
      </c>
      <c r="C84" s="5">
        <v>7</v>
      </c>
      <c r="D84" s="6" t="s">
        <v>8</v>
      </c>
      <c r="E84" s="5"/>
      <c r="F84" s="7" t="s">
        <v>43</v>
      </c>
      <c r="G84" s="45">
        <f>G85</f>
        <v>514072900</v>
      </c>
      <c r="H84" s="9">
        <f>+G84/$G$119*100%</f>
        <v>3.4476783646477431E-2</v>
      </c>
      <c r="I84" s="8">
        <f>Februari!M84</f>
        <v>0</v>
      </c>
      <c r="J84" s="11">
        <f>Februari!N84</f>
        <v>0</v>
      </c>
      <c r="K84" s="45">
        <f>K85</f>
        <v>0</v>
      </c>
      <c r="L84" s="108">
        <f>K84/G84*100</f>
        <v>0</v>
      </c>
      <c r="M84" s="8">
        <f>I84+K84</f>
        <v>0</v>
      </c>
      <c r="N84" s="12">
        <f>M84/G84*100</f>
        <v>0</v>
      </c>
      <c r="O84" s="13"/>
      <c r="P84" s="8">
        <f>G84-M84</f>
        <v>514072900</v>
      </c>
    </row>
    <row r="85" spans="1:16" s="3" customFormat="1" ht="40.5" customHeight="1">
      <c r="A85" s="14">
        <v>2</v>
      </c>
      <c r="B85" s="14">
        <v>8</v>
      </c>
      <c r="C85" s="14">
        <v>7</v>
      </c>
      <c r="D85" s="15" t="s">
        <v>8</v>
      </c>
      <c r="E85" s="14">
        <v>2</v>
      </c>
      <c r="F85" s="16" t="s">
        <v>82</v>
      </c>
      <c r="G85" s="17">
        <v>514072900</v>
      </c>
      <c r="H85" s="18">
        <f>+G85/$G$119*100%</f>
        <v>3.4476783646477431E-2</v>
      </c>
      <c r="I85" s="21">
        <f>Februari!M85</f>
        <v>0</v>
      </c>
      <c r="J85" s="190">
        <f>Februari!N85</f>
        <v>0</v>
      </c>
      <c r="K85" s="21">
        <v>0</v>
      </c>
      <c r="L85" s="20">
        <f>K85/G85*100</f>
        <v>0</v>
      </c>
      <c r="M85" s="30">
        <f>I85+K85</f>
        <v>0</v>
      </c>
      <c r="N85" s="29">
        <f>M85/G85*100</f>
        <v>0</v>
      </c>
      <c r="O85" s="22"/>
      <c r="P85" s="21">
        <f>G85-M85</f>
        <v>514072900</v>
      </c>
    </row>
    <row r="86" spans="1:16" s="106" customFormat="1" ht="48.75" customHeight="1">
      <c r="A86" s="5">
        <v>2</v>
      </c>
      <c r="B86" s="5">
        <v>8</v>
      </c>
      <c r="C86" s="5">
        <v>7</v>
      </c>
      <c r="D86" s="6" t="s">
        <v>14</v>
      </c>
      <c r="E86" s="5"/>
      <c r="F86" s="7" t="s">
        <v>13</v>
      </c>
      <c r="G86" s="45">
        <f>G87</f>
        <v>176870000</v>
      </c>
      <c r="H86" s="9">
        <f>+G86/$G$119*100%</f>
        <v>1.1861953282408902E-2</v>
      </c>
      <c r="I86" s="8">
        <f>Februari!M86</f>
        <v>0</v>
      </c>
      <c r="J86" s="11">
        <f>Februari!N86</f>
        <v>0</v>
      </c>
      <c r="K86" s="45">
        <f>K87</f>
        <v>0</v>
      </c>
      <c r="L86" s="108">
        <f>K86/G86*100</f>
        <v>0</v>
      </c>
      <c r="M86" s="8">
        <f>I86+K86</f>
        <v>0</v>
      </c>
      <c r="N86" s="12">
        <f>M86/G86*100</f>
        <v>0</v>
      </c>
      <c r="O86" s="13"/>
      <c r="P86" s="8">
        <f>G86-M86</f>
        <v>176870000</v>
      </c>
    </row>
    <row r="87" spans="1:16" s="3" customFormat="1" ht="40.5" customHeight="1">
      <c r="A87" s="14">
        <v>2</v>
      </c>
      <c r="B87" s="14">
        <v>8</v>
      </c>
      <c r="C87" s="14">
        <v>7</v>
      </c>
      <c r="D87" s="15" t="s">
        <v>14</v>
      </c>
      <c r="E87" s="14">
        <v>8</v>
      </c>
      <c r="F87" s="166" t="s">
        <v>126</v>
      </c>
      <c r="G87" s="17">
        <v>176870000</v>
      </c>
      <c r="H87" s="18">
        <f>+G87/$G$119*100%</f>
        <v>1.1861953282408902E-2</v>
      </c>
      <c r="I87" s="21">
        <f>Februari!M87</f>
        <v>0</v>
      </c>
      <c r="J87" s="190">
        <f>Februari!N87</f>
        <v>0</v>
      </c>
      <c r="K87" s="21">
        <v>0</v>
      </c>
      <c r="L87" s="20">
        <f>K87/G87*100</f>
        <v>0</v>
      </c>
      <c r="M87" s="30">
        <f>I87+K87</f>
        <v>0</v>
      </c>
      <c r="N87" s="29">
        <f>M87/G87*100</f>
        <v>0</v>
      </c>
      <c r="O87" s="22"/>
      <c r="P87" s="21">
        <f>G87-M87</f>
        <v>176870000</v>
      </c>
    </row>
    <row r="88" spans="1:16" s="146" customFormat="1" ht="35.25" customHeight="1">
      <c r="A88" s="130"/>
      <c r="B88" s="130"/>
      <c r="C88" s="130"/>
      <c r="D88" s="131"/>
      <c r="E88" s="130"/>
      <c r="F88" s="140" t="s">
        <v>106</v>
      </c>
      <c r="G88" s="144">
        <f>G89+G95+G98</f>
        <v>753381950</v>
      </c>
      <c r="H88" s="132"/>
      <c r="I88" s="138">
        <f>Februari!M88</f>
        <v>0</v>
      </c>
      <c r="J88" s="134">
        <f>Februari!N88</f>
        <v>0</v>
      </c>
      <c r="K88" s="136"/>
      <c r="L88" s="135"/>
      <c r="M88" s="138"/>
      <c r="N88" s="139"/>
      <c r="O88" s="143"/>
      <c r="P88" s="136"/>
    </row>
    <row r="89" spans="1:16" s="49" customFormat="1" ht="31.5" customHeight="1">
      <c r="A89" s="36">
        <v>2</v>
      </c>
      <c r="B89" s="36">
        <v>14</v>
      </c>
      <c r="C89" s="36">
        <v>2</v>
      </c>
      <c r="D89" s="37"/>
      <c r="E89" s="36"/>
      <c r="F89" s="38" t="s">
        <v>12</v>
      </c>
      <c r="G89" s="46">
        <f>G90+G93</f>
        <v>232558950</v>
      </c>
      <c r="H89" s="40">
        <f>+G89/$G$119*100%</f>
        <v>1.5596785211206353E-2</v>
      </c>
      <c r="I89" s="39">
        <f>Februari!M89</f>
        <v>0</v>
      </c>
      <c r="J89" s="42">
        <f>Februari!N89</f>
        <v>0</v>
      </c>
      <c r="K89" s="46">
        <f>K90</f>
        <v>0</v>
      </c>
      <c r="L89" s="109">
        <f>K89/G89*100</f>
        <v>0</v>
      </c>
      <c r="M89" s="39">
        <f>I89+K89</f>
        <v>0</v>
      </c>
      <c r="N89" s="43">
        <f>M89/G89*100</f>
        <v>0</v>
      </c>
      <c r="O89" s="44"/>
      <c r="P89" s="39">
        <f t="shared" ref="P89:P103" si="24">G89-M89</f>
        <v>232558950</v>
      </c>
    </row>
    <row r="90" spans="1:16" s="106" customFormat="1" ht="40.5" customHeight="1">
      <c r="A90" s="5">
        <v>2</v>
      </c>
      <c r="B90" s="5">
        <v>14</v>
      </c>
      <c r="C90" s="5">
        <v>2</v>
      </c>
      <c r="D90" s="6" t="s">
        <v>8</v>
      </c>
      <c r="E90" s="5"/>
      <c r="F90" s="7" t="s">
        <v>11</v>
      </c>
      <c r="G90" s="45">
        <f>G91+G92</f>
        <v>220558950</v>
      </c>
      <c r="H90" s="9">
        <f>+G90/$G$119*100%</f>
        <v>1.479199389900583E-2</v>
      </c>
      <c r="I90" s="8">
        <f>Februari!M90</f>
        <v>0</v>
      </c>
      <c r="J90" s="11">
        <f>Februari!N90</f>
        <v>0</v>
      </c>
      <c r="K90" s="45">
        <f>K91</f>
        <v>0</v>
      </c>
      <c r="L90" s="108">
        <f>K90/G90*100</f>
        <v>0</v>
      </c>
      <c r="M90" s="8">
        <f>I90+K90</f>
        <v>0</v>
      </c>
      <c r="N90" s="12">
        <f>M90/G90*100</f>
        <v>0</v>
      </c>
      <c r="O90" s="13"/>
      <c r="P90" s="8">
        <f t="shared" si="24"/>
        <v>220558950</v>
      </c>
    </row>
    <row r="91" spans="1:16" s="3" customFormat="1" ht="25.5" customHeight="1">
      <c r="A91" s="14">
        <v>2</v>
      </c>
      <c r="B91" s="14">
        <v>14</v>
      </c>
      <c r="C91" s="14">
        <v>2</v>
      </c>
      <c r="D91" s="15" t="s">
        <v>8</v>
      </c>
      <c r="E91" s="14">
        <v>3</v>
      </c>
      <c r="F91" s="16" t="s">
        <v>89</v>
      </c>
      <c r="G91" s="17">
        <v>99423950</v>
      </c>
      <c r="H91" s="18">
        <f>+G91/$G$119*100%</f>
        <v>6.6679609320549477E-3</v>
      </c>
      <c r="I91" s="21">
        <f>Februari!M91</f>
        <v>0</v>
      </c>
      <c r="J91" s="190">
        <f>Februari!N91</f>
        <v>0</v>
      </c>
      <c r="K91" s="21">
        <v>0</v>
      </c>
      <c r="L91" s="20">
        <f>K91/G91*100</f>
        <v>0</v>
      </c>
      <c r="M91" s="30">
        <f>I91+K91</f>
        <v>0</v>
      </c>
      <c r="N91" s="29">
        <f>M91/G91*100</f>
        <v>0</v>
      </c>
      <c r="O91" s="22"/>
      <c r="P91" s="21">
        <f t="shared" si="24"/>
        <v>99423950</v>
      </c>
    </row>
    <row r="92" spans="1:16" s="3" customFormat="1" ht="47.25" customHeight="1">
      <c r="A92" s="14">
        <v>2</v>
      </c>
      <c r="B92" s="14">
        <v>14</v>
      </c>
      <c r="C92" s="14">
        <v>2</v>
      </c>
      <c r="D92" s="15" t="s">
        <v>8</v>
      </c>
      <c r="E92" s="14">
        <v>7</v>
      </c>
      <c r="F92" s="16" t="s">
        <v>154</v>
      </c>
      <c r="G92" s="17">
        <v>121135000</v>
      </c>
      <c r="H92" s="18">
        <f>+G92/$G$119*100%</f>
        <v>8.124032966950882E-3</v>
      </c>
      <c r="I92" s="21">
        <f>Februari!M92</f>
        <v>0</v>
      </c>
      <c r="J92" s="190">
        <f>Februari!N92</f>
        <v>0</v>
      </c>
      <c r="K92" s="21"/>
      <c r="L92" s="20"/>
      <c r="M92" s="30"/>
      <c r="N92" s="29"/>
      <c r="O92" s="22"/>
      <c r="P92" s="21">
        <f t="shared" si="24"/>
        <v>121135000</v>
      </c>
    </row>
    <row r="93" spans="1:16" s="3" customFormat="1" ht="27" customHeight="1">
      <c r="A93" s="5">
        <v>2</v>
      </c>
      <c r="B93" s="5">
        <v>14</v>
      </c>
      <c r="C93" s="5">
        <v>2</v>
      </c>
      <c r="D93" s="6" t="s">
        <v>7</v>
      </c>
      <c r="E93" s="5"/>
      <c r="F93" s="7" t="s">
        <v>156</v>
      </c>
      <c r="G93" s="45">
        <f>G94</f>
        <v>12000000</v>
      </c>
      <c r="H93" s="9">
        <f t="shared" ref="H93:H103" si="25">+G93/$G$119*100%</f>
        <v>8.0479131220052478E-4</v>
      </c>
      <c r="I93" s="8">
        <f>Februari!M93</f>
        <v>0</v>
      </c>
      <c r="J93" s="11">
        <f>Februari!N93</f>
        <v>0</v>
      </c>
      <c r="K93" s="45">
        <f>K94</f>
        <v>0</v>
      </c>
      <c r="L93" s="108">
        <f>K93/G93*100</f>
        <v>0</v>
      </c>
      <c r="M93" s="8">
        <f>I93+K93</f>
        <v>0</v>
      </c>
      <c r="N93" s="12">
        <f>M93/G93*100</f>
        <v>0</v>
      </c>
      <c r="O93" s="13"/>
      <c r="P93" s="8">
        <f t="shared" si="24"/>
        <v>12000000</v>
      </c>
    </row>
    <row r="94" spans="1:16" s="3" customFormat="1" ht="29.25" customHeight="1">
      <c r="A94" s="14">
        <v>2</v>
      </c>
      <c r="B94" s="14">
        <v>14</v>
      </c>
      <c r="C94" s="14">
        <v>2</v>
      </c>
      <c r="D94" s="15" t="s">
        <v>7</v>
      </c>
      <c r="E94" s="14">
        <v>2</v>
      </c>
      <c r="F94" s="16" t="s">
        <v>155</v>
      </c>
      <c r="G94" s="17">
        <v>12000000</v>
      </c>
      <c r="H94" s="18">
        <f t="shared" si="25"/>
        <v>8.0479131220052478E-4</v>
      </c>
      <c r="I94" s="21">
        <f>Februari!M94</f>
        <v>0</v>
      </c>
      <c r="J94" s="190">
        <f>Februari!N94</f>
        <v>0</v>
      </c>
      <c r="K94" s="21">
        <v>0</v>
      </c>
      <c r="L94" s="20">
        <f>K94/G94*100</f>
        <v>0</v>
      </c>
      <c r="M94" s="30">
        <f>I94+K94</f>
        <v>0</v>
      </c>
      <c r="N94" s="29">
        <f>M94/G94*100</f>
        <v>0</v>
      </c>
      <c r="O94" s="22"/>
      <c r="P94" s="21">
        <f t="shared" si="24"/>
        <v>12000000</v>
      </c>
    </row>
    <row r="95" spans="1:16" s="49" customFormat="1" ht="26.25" customHeight="1">
      <c r="A95" s="36">
        <v>2</v>
      </c>
      <c r="B95" s="36">
        <v>14</v>
      </c>
      <c r="C95" s="36">
        <v>3</v>
      </c>
      <c r="D95" s="37"/>
      <c r="E95" s="36"/>
      <c r="F95" s="38" t="s">
        <v>10</v>
      </c>
      <c r="G95" s="46">
        <f>G96</f>
        <v>23923000</v>
      </c>
      <c r="H95" s="40">
        <f t="shared" si="25"/>
        <v>1.6044185468144297E-3</v>
      </c>
      <c r="I95" s="39">
        <f>Februari!M95</f>
        <v>0</v>
      </c>
      <c r="J95" s="42">
        <f>Februari!N95</f>
        <v>0</v>
      </c>
      <c r="K95" s="46">
        <f>K96</f>
        <v>0</v>
      </c>
      <c r="L95" s="109">
        <f t="shared" ref="L95:L103" si="26">K95/G95*100</f>
        <v>0</v>
      </c>
      <c r="M95" s="39">
        <f t="shared" ref="M95:M103" si="27">I95+K95</f>
        <v>0</v>
      </c>
      <c r="N95" s="43">
        <f t="shared" ref="N95:N103" si="28">M95/G95*100</f>
        <v>0</v>
      </c>
      <c r="O95" s="44"/>
      <c r="P95" s="39">
        <f t="shared" si="24"/>
        <v>23923000</v>
      </c>
    </row>
    <row r="96" spans="1:16" s="106" customFormat="1" ht="42.75" customHeight="1">
      <c r="A96" s="5">
        <v>2</v>
      </c>
      <c r="B96" s="5">
        <v>14</v>
      </c>
      <c r="C96" s="5">
        <v>3</v>
      </c>
      <c r="D96" s="6" t="s">
        <v>7</v>
      </c>
      <c r="E96" s="5"/>
      <c r="F96" s="167" t="s">
        <v>128</v>
      </c>
      <c r="G96" s="45">
        <f>G97</f>
        <v>23923000</v>
      </c>
      <c r="H96" s="9">
        <f t="shared" si="25"/>
        <v>1.6044185468144297E-3</v>
      </c>
      <c r="I96" s="8">
        <f>Februari!M96</f>
        <v>0</v>
      </c>
      <c r="J96" s="11">
        <f>Februari!N96</f>
        <v>0</v>
      </c>
      <c r="K96" s="45">
        <f>K97</f>
        <v>0</v>
      </c>
      <c r="L96" s="108">
        <f t="shared" si="26"/>
        <v>0</v>
      </c>
      <c r="M96" s="8">
        <f t="shared" si="27"/>
        <v>0</v>
      </c>
      <c r="N96" s="12">
        <f t="shared" si="28"/>
        <v>0</v>
      </c>
      <c r="O96" s="13"/>
      <c r="P96" s="8">
        <f t="shared" si="24"/>
        <v>23923000</v>
      </c>
    </row>
    <row r="97" spans="1:16" s="3" customFormat="1" ht="38.25" customHeight="1">
      <c r="A97" s="14">
        <v>2</v>
      </c>
      <c r="B97" s="14">
        <v>14</v>
      </c>
      <c r="C97" s="14">
        <v>3</v>
      </c>
      <c r="D97" s="15" t="s">
        <v>7</v>
      </c>
      <c r="E97" s="14">
        <v>2</v>
      </c>
      <c r="F97" s="166" t="s">
        <v>157</v>
      </c>
      <c r="G97" s="17">
        <v>23923000</v>
      </c>
      <c r="H97" s="18">
        <f t="shared" si="25"/>
        <v>1.6044185468144297E-3</v>
      </c>
      <c r="I97" s="21">
        <f>Februari!M97</f>
        <v>0</v>
      </c>
      <c r="J97" s="190">
        <f>Februari!N97</f>
        <v>0</v>
      </c>
      <c r="K97" s="21">
        <v>0</v>
      </c>
      <c r="L97" s="20">
        <f t="shared" si="26"/>
        <v>0</v>
      </c>
      <c r="M97" s="30">
        <f t="shared" si="27"/>
        <v>0</v>
      </c>
      <c r="N97" s="29">
        <f t="shared" si="28"/>
        <v>0</v>
      </c>
      <c r="O97" s="22"/>
      <c r="P97" s="21">
        <f t="shared" si="24"/>
        <v>23923000</v>
      </c>
    </row>
    <row r="98" spans="1:16" s="49" customFormat="1" ht="26.25" customHeight="1">
      <c r="A98" s="36">
        <v>2</v>
      </c>
      <c r="B98" s="36">
        <v>14</v>
      </c>
      <c r="C98" s="36">
        <v>4</v>
      </c>
      <c r="D98" s="37"/>
      <c r="E98" s="36"/>
      <c r="F98" s="38" t="s">
        <v>9</v>
      </c>
      <c r="G98" s="46">
        <f>G99+G102</f>
        <v>496900000</v>
      </c>
      <c r="H98" s="40">
        <f t="shared" si="25"/>
        <v>3.3325066919370067E-2</v>
      </c>
      <c r="I98" s="39">
        <f>Februari!M98</f>
        <v>0</v>
      </c>
      <c r="J98" s="42">
        <f>Februari!N98</f>
        <v>0</v>
      </c>
      <c r="K98" s="46">
        <f>K99+K102</f>
        <v>0</v>
      </c>
      <c r="L98" s="109">
        <f t="shared" si="26"/>
        <v>0</v>
      </c>
      <c r="M98" s="39">
        <f t="shared" si="27"/>
        <v>0</v>
      </c>
      <c r="N98" s="43">
        <f t="shared" si="28"/>
        <v>0</v>
      </c>
      <c r="O98" s="48"/>
      <c r="P98" s="39">
        <f t="shared" si="24"/>
        <v>496900000</v>
      </c>
    </row>
    <row r="99" spans="1:16" s="106" customFormat="1" ht="40.5" customHeight="1">
      <c r="A99" s="5">
        <v>2</v>
      </c>
      <c r="B99" s="5">
        <v>14</v>
      </c>
      <c r="C99" s="5">
        <v>4</v>
      </c>
      <c r="D99" s="6" t="s">
        <v>8</v>
      </c>
      <c r="E99" s="5"/>
      <c r="F99" s="7" t="s">
        <v>90</v>
      </c>
      <c r="G99" s="45">
        <f>G100+G101</f>
        <v>469750000</v>
      </c>
      <c r="H99" s="9">
        <f t="shared" si="25"/>
        <v>3.1504226575516381E-2</v>
      </c>
      <c r="I99" s="8">
        <f>Februari!M99</f>
        <v>0</v>
      </c>
      <c r="J99" s="11">
        <f>Februari!N99</f>
        <v>0</v>
      </c>
      <c r="K99" s="45">
        <f>K100</f>
        <v>0</v>
      </c>
      <c r="L99" s="108">
        <f t="shared" si="26"/>
        <v>0</v>
      </c>
      <c r="M99" s="8">
        <f t="shared" si="27"/>
        <v>0</v>
      </c>
      <c r="N99" s="12">
        <f t="shared" si="28"/>
        <v>0</v>
      </c>
      <c r="O99" s="27"/>
      <c r="P99" s="8">
        <f t="shared" si="24"/>
        <v>469750000</v>
      </c>
    </row>
    <row r="100" spans="1:16" s="3" customFormat="1" ht="35.25" customHeight="1">
      <c r="A100" s="14">
        <v>2</v>
      </c>
      <c r="B100" s="14">
        <v>14</v>
      </c>
      <c r="C100" s="14">
        <v>4</v>
      </c>
      <c r="D100" s="15" t="s">
        <v>8</v>
      </c>
      <c r="E100" s="14">
        <v>17</v>
      </c>
      <c r="F100" s="166" t="s">
        <v>129</v>
      </c>
      <c r="G100" s="17">
        <v>316150000</v>
      </c>
      <c r="H100" s="18">
        <f t="shared" si="25"/>
        <v>2.120289777934966E-2</v>
      </c>
      <c r="I100" s="21">
        <f>Februari!M100</f>
        <v>0</v>
      </c>
      <c r="J100" s="190">
        <f>Februari!N100</f>
        <v>0</v>
      </c>
      <c r="K100" s="21">
        <v>0</v>
      </c>
      <c r="L100" s="20">
        <f t="shared" si="26"/>
        <v>0</v>
      </c>
      <c r="M100" s="30">
        <f t="shared" si="27"/>
        <v>0</v>
      </c>
      <c r="N100" s="29">
        <f t="shared" si="28"/>
        <v>0</v>
      </c>
      <c r="O100" s="23"/>
      <c r="P100" s="21">
        <f t="shared" si="24"/>
        <v>316150000</v>
      </c>
    </row>
    <row r="101" spans="1:16" s="3" customFormat="1" ht="28.5" customHeight="1">
      <c r="A101" s="14">
        <v>2</v>
      </c>
      <c r="B101" s="14">
        <v>14</v>
      </c>
      <c r="C101" s="14">
        <v>4</v>
      </c>
      <c r="D101" s="15" t="s">
        <v>8</v>
      </c>
      <c r="E101" s="14">
        <v>19</v>
      </c>
      <c r="F101" s="166" t="s">
        <v>158</v>
      </c>
      <c r="G101" s="17">
        <v>153600000</v>
      </c>
      <c r="H101" s="18">
        <f t="shared" si="25"/>
        <v>1.0301328796166718E-2</v>
      </c>
      <c r="I101" s="21">
        <f>Februari!M101</f>
        <v>0</v>
      </c>
      <c r="J101" s="190">
        <f>Februari!N101</f>
        <v>0</v>
      </c>
      <c r="K101" s="21"/>
      <c r="L101" s="20"/>
      <c r="M101" s="30"/>
      <c r="N101" s="29"/>
      <c r="O101" s="23"/>
      <c r="P101" s="21"/>
    </row>
    <row r="102" spans="1:16" s="106" customFormat="1" ht="47.25" customHeight="1">
      <c r="A102" s="5">
        <v>2</v>
      </c>
      <c r="B102" s="5">
        <v>14</v>
      </c>
      <c r="C102" s="5">
        <v>4</v>
      </c>
      <c r="D102" s="6" t="s">
        <v>7</v>
      </c>
      <c r="E102" s="5"/>
      <c r="F102" s="7" t="s">
        <v>6</v>
      </c>
      <c r="G102" s="26">
        <f>G103</f>
        <v>27150000</v>
      </c>
      <c r="H102" s="9">
        <f t="shared" si="25"/>
        <v>1.8208403438536875E-3</v>
      </c>
      <c r="I102" s="8">
        <f>Februari!M102</f>
        <v>0</v>
      </c>
      <c r="J102" s="11">
        <f>Februari!N102</f>
        <v>0</v>
      </c>
      <c r="K102" s="26">
        <f>K103</f>
        <v>0</v>
      </c>
      <c r="L102" s="108">
        <f t="shared" si="26"/>
        <v>0</v>
      </c>
      <c r="M102" s="8">
        <f t="shared" si="27"/>
        <v>0</v>
      </c>
      <c r="N102" s="12">
        <f t="shared" si="28"/>
        <v>0</v>
      </c>
      <c r="O102" s="27"/>
      <c r="P102" s="8">
        <f t="shared" si="24"/>
        <v>27150000</v>
      </c>
    </row>
    <row r="103" spans="1:16" s="3" customFormat="1" ht="60.75" customHeight="1">
      <c r="A103" s="14">
        <v>2</v>
      </c>
      <c r="B103" s="14">
        <v>14</v>
      </c>
      <c r="C103" s="14">
        <v>4</v>
      </c>
      <c r="D103" s="15" t="s">
        <v>7</v>
      </c>
      <c r="E103" s="14">
        <v>8</v>
      </c>
      <c r="F103" s="166" t="s">
        <v>130</v>
      </c>
      <c r="G103" s="25">
        <v>27150000</v>
      </c>
      <c r="H103" s="18">
        <f t="shared" si="25"/>
        <v>1.8208403438536875E-3</v>
      </c>
      <c r="I103" s="21">
        <f>Februari!M103</f>
        <v>0</v>
      </c>
      <c r="J103" s="190">
        <f>Februari!N103</f>
        <v>0</v>
      </c>
      <c r="K103" s="21">
        <v>0</v>
      </c>
      <c r="L103" s="20">
        <f t="shared" si="26"/>
        <v>0</v>
      </c>
      <c r="M103" s="30">
        <f t="shared" si="27"/>
        <v>0</v>
      </c>
      <c r="N103" s="29">
        <f t="shared" si="28"/>
        <v>0</v>
      </c>
      <c r="O103" s="23"/>
      <c r="P103" s="21">
        <f t="shared" si="24"/>
        <v>27150000</v>
      </c>
    </row>
    <row r="104" spans="1:16" s="3" customFormat="1" ht="31.5" customHeight="1">
      <c r="A104" s="130"/>
      <c r="B104" s="130"/>
      <c r="C104" s="130"/>
      <c r="D104" s="131"/>
      <c r="E104" s="130"/>
      <c r="F104" s="141" t="s">
        <v>101</v>
      </c>
      <c r="G104" s="142">
        <f>G105+G113+G116</f>
        <v>2677601700</v>
      </c>
      <c r="H104" s="132"/>
      <c r="I104" s="138">
        <f>Februari!M104</f>
        <v>0</v>
      </c>
      <c r="J104" s="134">
        <f>Februari!N104</f>
        <v>0</v>
      </c>
      <c r="K104" s="136"/>
      <c r="L104" s="135"/>
      <c r="M104" s="138"/>
      <c r="N104" s="139"/>
      <c r="O104" s="137"/>
      <c r="P104" s="136"/>
    </row>
    <row r="105" spans="1:16" s="49" customFormat="1" ht="27.75" customHeight="1">
      <c r="A105" s="36">
        <v>2</v>
      </c>
      <c r="B105" s="36">
        <v>8</v>
      </c>
      <c r="C105" s="36">
        <v>1</v>
      </c>
      <c r="D105" s="37"/>
      <c r="E105" s="36"/>
      <c r="F105" s="38" t="s">
        <v>5</v>
      </c>
      <c r="G105" s="46">
        <f>G106+G110</f>
        <v>317209700</v>
      </c>
      <c r="H105" s="40">
        <f>+G105/$G$119*100%</f>
        <v>2.1273967558811235E-2</v>
      </c>
      <c r="I105" s="39">
        <f>Februari!M105</f>
        <v>46921500</v>
      </c>
      <c r="J105" s="42">
        <f>Februari!N105</f>
        <v>14.791949930913209</v>
      </c>
      <c r="K105" s="46">
        <f>K106+K110</f>
        <v>23643000</v>
      </c>
      <c r="L105" s="43">
        <f>K105/G105*100</f>
        <v>7.4534290723139929</v>
      </c>
      <c r="M105" s="39">
        <f>I105+K105</f>
        <v>70564500</v>
      </c>
      <c r="N105" s="43">
        <f>M105/G105*100</f>
        <v>22.245379003227203</v>
      </c>
      <c r="O105" s="44"/>
      <c r="P105" s="39">
        <f t="shared" ref="P105:P118" si="29">G105-M105</f>
        <v>246645200</v>
      </c>
    </row>
    <row r="106" spans="1:16" s="106" customFormat="1" ht="27.75" customHeight="1">
      <c r="A106" s="5">
        <v>2</v>
      </c>
      <c r="B106" s="5">
        <v>8</v>
      </c>
      <c r="C106" s="5">
        <v>1</v>
      </c>
      <c r="D106" s="6" t="s">
        <v>24</v>
      </c>
      <c r="E106" s="5"/>
      <c r="F106" s="7" t="s">
        <v>4</v>
      </c>
      <c r="G106" s="45">
        <f>SUM(G107:G109)</f>
        <v>11797700</v>
      </c>
      <c r="H106" s="9">
        <f>+G106/$G$119*100%</f>
        <v>7.9122387199567767E-4</v>
      </c>
      <c r="I106" s="8">
        <f>Februari!M106</f>
        <v>0</v>
      </c>
      <c r="J106" s="11">
        <f>Februari!N106</f>
        <v>0</v>
      </c>
      <c r="K106" s="45">
        <f>K108+K109</f>
        <v>0</v>
      </c>
      <c r="L106" s="108">
        <f>K106/G106*100</f>
        <v>0</v>
      </c>
      <c r="M106" s="8">
        <f>I106+K106</f>
        <v>0</v>
      </c>
      <c r="N106" s="12">
        <f>M106/G106*100</f>
        <v>0</v>
      </c>
      <c r="O106" s="27"/>
      <c r="P106" s="8">
        <f t="shared" si="29"/>
        <v>11797700</v>
      </c>
    </row>
    <row r="107" spans="1:16" s="106" customFormat="1" ht="27.75" customHeight="1">
      <c r="A107" s="14">
        <v>2</v>
      </c>
      <c r="B107" s="14">
        <v>8</v>
      </c>
      <c r="C107" s="14">
        <v>1</v>
      </c>
      <c r="D107" s="15" t="s">
        <v>24</v>
      </c>
      <c r="E107" s="14">
        <v>1</v>
      </c>
      <c r="F107" s="16" t="s">
        <v>60</v>
      </c>
      <c r="G107" s="17">
        <v>1706000</v>
      </c>
      <c r="H107" s="18">
        <f>+G107/$G$119*100%</f>
        <v>1.1441449821784128E-4</v>
      </c>
      <c r="I107" s="21">
        <f>Februari!M107</f>
        <v>0</v>
      </c>
      <c r="J107" s="190">
        <f>Februari!N107</f>
        <v>0</v>
      </c>
      <c r="K107" s="21">
        <v>0</v>
      </c>
      <c r="L107" s="20">
        <f>K107/G107*100</f>
        <v>0</v>
      </c>
      <c r="M107" s="30">
        <f>I107+K107</f>
        <v>0</v>
      </c>
      <c r="N107" s="29">
        <f>M107/G107*100</f>
        <v>0</v>
      </c>
      <c r="O107" s="23"/>
      <c r="P107" s="21">
        <f t="shared" si="29"/>
        <v>1706000</v>
      </c>
    </row>
    <row r="108" spans="1:16" s="3" customFormat="1" ht="27.75" customHeight="1">
      <c r="A108" s="14">
        <v>2</v>
      </c>
      <c r="B108" s="14">
        <v>8</v>
      </c>
      <c r="C108" s="14">
        <v>1</v>
      </c>
      <c r="D108" s="15" t="s">
        <v>24</v>
      </c>
      <c r="E108" s="14">
        <v>2</v>
      </c>
      <c r="F108" s="16" t="s">
        <v>61</v>
      </c>
      <c r="G108" s="17">
        <v>8794500</v>
      </c>
      <c r="H108" s="18">
        <f>+G108/$G$119*100%</f>
        <v>5.8981143292895959E-4</v>
      </c>
      <c r="I108" s="21">
        <f>Februari!M108</f>
        <v>0</v>
      </c>
      <c r="J108" s="190">
        <f>Februari!N108</f>
        <v>0</v>
      </c>
      <c r="K108" s="21">
        <v>0</v>
      </c>
      <c r="L108" s="20">
        <f>K108/G108*100</f>
        <v>0</v>
      </c>
      <c r="M108" s="30">
        <f>I108+K108</f>
        <v>0</v>
      </c>
      <c r="N108" s="29">
        <f>M108/G108*100</f>
        <v>0</v>
      </c>
      <c r="O108" s="23"/>
      <c r="P108" s="21">
        <f t="shared" si="29"/>
        <v>8794500</v>
      </c>
    </row>
    <row r="109" spans="1:16" s="3" customFormat="1" ht="27.75" customHeight="1">
      <c r="A109" s="14">
        <v>2</v>
      </c>
      <c r="B109" s="14">
        <v>8</v>
      </c>
      <c r="C109" s="14">
        <v>1</v>
      </c>
      <c r="D109" s="15" t="s">
        <v>24</v>
      </c>
      <c r="E109" s="14">
        <v>5</v>
      </c>
      <c r="F109" s="16" t="s">
        <v>62</v>
      </c>
      <c r="G109" s="17">
        <v>1297200</v>
      </c>
      <c r="H109" s="18">
        <f>+G109/$G$119*100%</f>
        <v>8.6997940848876733E-5</v>
      </c>
      <c r="I109" s="21">
        <f>Februari!M109</f>
        <v>0</v>
      </c>
      <c r="J109" s="190">
        <f>Februari!N109</f>
        <v>0</v>
      </c>
      <c r="K109" s="21"/>
      <c r="L109" s="20"/>
      <c r="M109" s="30"/>
      <c r="N109" s="29"/>
      <c r="O109" s="23"/>
      <c r="P109" s="21">
        <f t="shared" si="29"/>
        <v>1297200</v>
      </c>
    </row>
    <row r="110" spans="1:16" s="106" customFormat="1" ht="27.75" customHeight="1">
      <c r="A110" s="5">
        <v>2</v>
      </c>
      <c r="B110" s="5">
        <v>8</v>
      </c>
      <c r="C110" s="5">
        <v>1</v>
      </c>
      <c r="D110" s="6" t="s">
        <v>23</v>
      </c>
      <c r="E110" s="5"/>
      <c r="F110" s="7" t="s">
        <v>3</v>
      </c>
      <c r="G110" s="45">
        <f>G111+G112</f>
        <v>305412000</v>
      </c>
      <c r="H110" s="9">
        <f t="shared" ref="H110:H119" si="30">+G110/$G$119*100%</f>
        <v>2.0482743686815557E-2</v>
      </c>
      <c r="I110" s="8">
        <f>Februari!M110</f>
        <v>46921500</v>
      </c>
      <c r="J110" s="11">
        <f>Februari!N110</f>
        <v>15.363345251660052</v>
      </c>
      <c r="K110" s="45">
        <f>K111+K112</f>
        <v>23643000</v>
      </c>
      <c r="L110" s="12">
        <f t="shared" ref="L110:L119" si="31">K110/G110*100</f>
        <v>7.7413461160661665</v>
      </c>
      <c r="M110" s="8">
        <f t="shared" ref="M110:M118" si="32">I110+K110</f>
        <v>70564500</v>
      </c>
      <c r="N110" s="12">
        <f t="shared" ref="N110:N119" si="33">M110/G110*100</f>
        <v>23.104691367726218</v>
      </c>
      <c r="O110" s="13"/>
      <c r="P110" s="8">
        <f t="shared" si="29"/>
        <v>234847500</v>
      </c>
    </row>
    <row r="111" spans="1:16" s="3" customFormat="1" ht="27.75" customHeight="1">
      <c r="A111" s="14">
        <v>2</v>
      </c>
      <c r="B111" s="14">
        <v>8</v>
      </c>
      <c r="C111" s="14">
        <v>1</v>
      </c>
      <c r="D111" s="15" t="s">
        <v>23</v>
      </c>
      <c r="E111" s="14">
        <v>2</v>
      </c>
      <c r="F111" s="16" t="s">
        <v>87</v>
      </c>
      <c r="G111" s="17">
        <v>22020000</v>
      </c>
      <c r="H111" s="18">
        <f t="shared" si="30"/>
        <v>1.4767920578879631E-3</v>
      </c>
      <c r="I111" s="21">
        <f>Februari!M111</f>
        <v>0</v>
      </c>
      <c r="J111" s="190">
        <f>Februari!N111</f>
        <v>0</v>
      </c>
      <c r="K111" s="24">
        <v>0</v>
      </c>
      <c r="L111" s="20">
        <f t="shared" si="31"/>
        <v>0</v>
      </c>
      <c r="M111" s="30">
        <f t="shared" si="32"/>
        <v>0</v>
      </c>
      <c r="N111" s="29">
        <f t="shared" si="33"/>
        <v>0</v>
      </c>
      <c r="O111" s="22"/>
      <c r="P111" s="21">
        <f t="shared" si="29"/>
        <v>22020000</v>
      </c>
    </row>
    <row r="112" spans="1:16" s="3" customFormat="1" ht="27.75" customHeight="1">
      <c r="A112" s="14">
        <v>2</v>
      </c>
      <c r="B112" s="14">
        <v>8</v>
      </c>
      <c r="C112" s="14">
        <v>1</v>
      </c>
      <c r="D112" s="15" t="s">
        <v>23</v>
      </c>
      <c r="E112" s="14">
        <v>4</v>
      </c>
      <c r="F112" s="16" t="s">
        <v>68</v>
      </c>
      <c r="G112" s="17">
        <v>283392000</v>
      </c>
      <c r="H112" s="18">
        <f t="shared" si="30"/>
        <v>1.9005951628927594E-2</v>
      </c>
      <c r="I112" s="21">
        <f>Februari!M112</f>
        <v>46921500</v>
      </c>
      <c r="J112" s="190">
        <f>Februari!N112</f>
        <v>16.557101117886177</v>
      </c>
      <c r="K112" s="21">
        <f>23400000+243000</f>
        <v>23643000</v>
      </c>
      <c r="L112" s="20">
        <f t="shared" si="31"/>
        <v>8.3428607723577244</v>
      </c>
      <c r="M112" s="21">
        <f t="shared" si="32"/>
        <v>70564500</v>
      </c>
      <c r="N112" s="20">
        <f t="shared" si="33"/>
        <v>24.899961890243901</v>
      </c>
      <c r="O112" s="22"/>
      <c r="P112" s="21">
        <f t="shared" si="29"/>
        <v>212827500</v>
      </c>
    </row>
    <row r="113" spans="1:16" s="49" customFormat="1" ht="27.75" customHeight="1">
      <c r="A113" s="36">
        <v>2</v>
      </c>
      <c r="B113" s="36">
        <v>8</v>
      </c>
      <c r="C113" s="36">
        <v>3</v>
      </c>
      <c r="D113" s="37"/>
      <c r="E113" s="36"/>
      <c r="F113" s="38" t="s">
        <v>91</v>
      </c>
      <c r="G113" s="46">
        <f>G114</f>
        <v>2177844000</v>
      </c>
      <c r="H113" s="40">
        <f t="shared" si="30"/>
        <v>0.14605916087733664</v>
      </c>
      <c r="I113" s="39">
        <f>Februari!M113</f>
        <v>0</v>
      </c>
      <c r="J113" s="42">
        <f>Februari!N113</f>
        <v>0</v>
      </c>
      <c r="K113" s="46">
        <f>K114</f>
        <v>0</v>
      </c>
      <c r="L113" s="109">
        <f t="shared" si="31"/>
        <v>0</v>
      </c>
      <c r="M113" s="39">
        <f t="shared" si="32"/>
        <v>0</v>
      </c>
      <c r="N113" s="43">
        <f t="shared" si="33"/>
        <v>0</v>
      </c>
      <c r="O113" s="44"/>
      <c r="P113" s="39">
        <f t="shared" si="29"/>
        <v>2177844000</v>
      </c>
    </row>
    <row r="114" spans="1:16" s="106" customFormat="1" ht="40.5" customHeight="1">
      <c r="A114" s="5">
        <v>2</v>
      </c>
      <c r="B114" s="5">
        <v>8</v>
      </c>
      <c r="C114" s="5">
        <v>3</v>
      </c>
      <c r="D114" s="6" t="s">
        <v>7</v>
      </c>
      <c r="E114" s="5"/>
      <c r="F114" s="7" t="s">
        <v>47</v>
      </c>
      <c r="G114" s="45">
        <f>G115</f>
        <v>2177844000</v>
      </c>
      <c r="H114" s="9">
        <f t="shared" si="30"/>
        <v>0.14605916087733664</v>
      </c>
      <c r="I114" s="8">
        <f>Februari!M114</f>
        <v>0</v>
      </c>
      <c r="J114" s="11">
        <f>Februari!N114</f>
        <v>0</v>
      </c>
      <c r="K114" s="45">
        <f>K115</f>
        <v>0</v>
      </c>
      <c r="L114" s="108">
        <f t="shared" si="31"/>
        <v>0</v>
      </c>
      <c r="M114" s="8">
        <f t="shared" si="32"/>
        <v>0</v>
      </c>
      <c r="N114" s="12">
        <f t="shared" si="33"/>
        <v>0</v>
      </c>
      <c r="O114" s="13"/>
      <c r="P114" s="8">
        <f t="shared" si="29"/>
        <v>2177844000</v>
      </c>
    </row>
    <row r="115" spans="1:16" s="3" customFormat="1" ht="36" customHeight="1">
      <c r="A115" s="14">
        <v>2</v>
      </c>
      <c r="B115" s="14">
        <v>8</v>
      </c>
      <c r="C115" s="14">
        <v>3</v>
      </c>
      <c r="D115" s="15" t="s">
        <v>7</v>
      </c>
      <c r="E115" s="14">
        <v>2</v>
      </c>
      <c r="F115" s="16" t="s">
        <v>74</v>
      </c>
      <c r="G115" s="17">
        <v>2177844000</v>
      </c>
      <c r="H115" s="18">
        <f t="shared" si="30"/>
        <v>0.14605916087733664</v>
      </c>
      <c r="I115" s="21">
        <f>Februari!M115</f>
        <v>0</v>
      </c>
      <c r="J115" s="190">
        <f>Februari!N115</f>
        <v>0</v>
      </c>
      <c r="K115" s="21">
        <v>0</v>
      </c>
      <c r="L115" s="20">
        <f t="shared" si="31"/>
        <v>0</v>
      </c>
      <c r="M115" s="30">
        <f t="shared" si="32"/>
        <v>0</v>
      </c>
      <c r="N115" s="29">
        <f t="shared" si="33"/>
        <v>0</v>
      </c>
      <c r="O115" s="22"/>
      <c r="P115" s="21">
        <f t="shared" si="29"/>
        <v>2177844000</v>
      </c>
    </row>
    <row r="116" spans="1:16" s="49" customFormat="1" ht="26.25" customHeight="1">
      <c r="A116" s="36">
        <v>2</v>
      </c>
      <c r="B116" s="36">
        <v>8</v>
      </c>
      <c r="C116" s="36">
        <v>7</v>
      </c>
      <c r="D116" s="37"/>
      <c r="E116" s="36"/>
      <c r="F116" s="38" t="s">
        <v>92</v>
      </c>
      <c r="G116" s="46">
        <f>G117</f>
        <v>182548000</v>
      </c>
      <c r="H116" s="40">
        <f t="shared" si="30"/>
        <v>1.2242753704965118E-2</v>
      </c>
      <c r="I116" s="39">
        <f>Februari!M116</f>
        <v>0</v>
      </c>
      <c r="J116" s="42">
        <f>Februari!N116</f>
        <v>0</v>
      </c>
      <c r="K116" s="46">
        <f>K117</f>
        <v>0</v>
      </c>
      <c r="L116" s="109">
        <f t="shared" si="31"/>
        <v>0</v>
      </c>
      <c r="M116" s="39">
        <f t="shared" si="32"/>
        <v>0</v>
      </c>
      <c r="N116" s="43">
        <f t="shared" si="33"/>
        <v>0</v>
      </c>
      <c r="O116" s="44"/>
      <c r="P116" s="39">
        <f t="shared" si="29"/>
        <v>182548000</v>
      </c>
    </row>
    <row r="117" spans="1:16" s="106" customFormat="1" ht="40.5" customHeight="1">
      <c r="A117" s="5">
        <v>2</v>
      </c>
      <c r="B117" s="5">
        <v>8</v>
      </c>
      <c r="C117" s="5">
        <v>7</v>
      </c>
      <c r="D117" s="6" t="s">
        <v>7</v>
      </c>
      <c r="E117" s="5"/>
      <c r="F117" s="7" t="s">
        <v>1</v>
      </c>
      <c r="G117" s="45">
        <f>G118</f>
        <v>182548000</v>
      </c>
      <c r="H117" s="9">
        <f t="shared" si="30"/>
        <v>1.2242753704965118E-2</v>
      </c>
      <c r="I117" s="8">
        <f>Februari!M117</f>
        <v>0</v>
      </c>
      <c r="J117" s="11">
        <f>Februari!N117</f>
        <v>0</v>
      </c>
      <c r="K117" s="45">
        <f>K118</f>
        <v>0</v>
      </c>
      <c r="L117" s="108">
        <f t="shared" si="31"/>
        <v>0</v>
      </c>
      <c r="M117" s="8">
        <f t="shared" si="32"/>
        <v>0</v>
      </c>
      <c r="N117" s="12">
        <f t="shared" si="33"/>
        <v>0</v>
      </c>
      <c r="O117" s="13"/>
      <c r="P117" s="8">
        <f t="shared" si="29"/>
        <v>182548000</v>
      </c>
    </row>
    <row r="118" spans="1:16" s="3" customFormat="1" ht="30" customHeight="1">
      <c r="A118" s="14">
        <v>2</v>
      </c>
      <c r="B118" s="14">
        <v>8</v>
      </c>
      <c r="C118" s="14">
        <v>7</v>
      </c>
      <c r="D118" s="15" t="s">
        <v>7</v>
      </c>
      <c r="E118" s="14">
        <v>7</v>
      </c>
      <c r="F118" s="166" t="s">
        <v>127</v>
      </c>
      <c r="G118" s="17">
        <v>182548000</v>
      </c>
      <c r="H118" s="18">
        <f t="shared" si="30"/>
        <v>1.2242753704965118E-2</v>
      </c>
      <c r="I118" s="21">
        <f>Februari!M118</f>
        <v>0</v>
      </c>
      <c r="J118" s="190">
        <f>Februari!N118</f>
        <v>0</v>
      </c>
      <c r="K118" s="21">
        <v>0</v>
      </c>
      <c r="L118" s="20">
        <f t="shared" si="31"/>
        <v>0</v>
      </c>
      <c r="M118" s="30">
        <f t="shared" si="32"/>
        <v>0</v>
      </c>
      <c r="N118" s="29">
        <f t="shared" si="33"/>
        <v>0</v>
      </c>
      <c r="O118" s="22"/>
      <c r="P118" s="21">
        <f t="shared" si="29"/>
        <v>182548000</v>
      </c>
    </row>
    <row r="119" spans="1:16" s="58" customFormat="1" ht="22.5" customHeight="1">
      <c r="A119" s="50"/>
      <c r="B119" s="50"/>
      <c r="C119" s="50"/>
      <c r="D119" s="51"/>
      <c r="E119" s="52"/>
      <c r="F119" s="53" t="s">
        <v>48</v>
      </c>
      <c r="G119" s="54">
        <f>G16+G55+G61+G67+G72+G76+G83+G89+G95+G98+G105+G113+G116</f>
        <v>14910697740</v>
      </c>
      <c r="H119" s="114">
        <f t="shared" si="30"/>
        <v>1</v>
      </c>
      <c r="I119" s="116">
        <f>Februari!M119</f>
        <v>663641232</v>
      </c>
      <c r="J119" s="55">
        <f>Februari!N119</f>
        <v>4.6314640136242913</v>
      </c>
      <c r="K119" s="54">
        <f>K16+K55+K61+K67+K72+K76+K83+K89+K95+K98+K105+K113+K116</f>
        <v>1205311784</v>
      </c>
      <c r="L119" s="56">
        <f t="shared" si="31"/>
        <v>8.0835371021342954</v>
      </c>
      <c r="M119" s="54">
        <f>M16+M55+M61+M67+M72+M76+M83+M89+M95+M98+M105+M113+M116</f>
        <v>1868953016</v>
      </c>
      <c r="N119" s="56">
        <f t="shared" si="33"/>
        <v>12.53430958489807</v>
      </c>
      <c r="O119" s="57"/>
      <c r="P119" s="116">
        <f>G119-M119</f>
        <v>13041744724</v>
      </c>
    </row>
    <row r="120" spans="1:16" s="4" customFormat="1" ht="18" customHeight="1">
      <c r="A120" s="118"/>
      <c r="B120" s="118"/>
      <c r="C120" s="118"/>
      <c r="D120" s="119"/>
      <c r="E120" s="120"/>
      <c r="F120" s="33" t="s">
        <v>95</v>
      </c>
      <c r="G120" s="128">
        <f>G16</f>
        <v>9332143890</v>
      </c>
      <c r="H120" s="122"/>
      <c r="I120" s="121"/>
      <c r="J120" s="123"/>
      <c r="K120" s="121" t="s">
        <v>182</v>
      </c>
      <c r="L120" s="124"/>
      <c r="M120" s="126"/>
      <c r="N120" s="124"/>
      <c r="O120" s="125"/>
      <c r="P120" s="126"/>
    </row>
    <row r="121" spans="1:16" s="4" customFormat="1" ht="15.75" customHeight="1">
      <c r="A121" s="118"/>
      <c r="B121" s="118"/>
      <c r="C121" s="118"/>
      <c r="D121" s="119"/>
      <c r="E121" s="120"/>
      <c r="F121" s="33" t="s">
        <v>96</v>
      </c>
      <c r="G121" s="128">
        <f>G76</f>
        <v>429820700</v>
      </c>
      <c r="H121" s="187"/>
      <c r="I121" s="188"/>
      <c r="J121" s="189"/>
      <c r="K121" s="121"/>
      <c r="L121" s="124"/>
      <c r="M121" s="126"/>
      <c r="N121" s="124"/>
      <c r="O121" s="125"/>
      <c r="P121" s="126"/>
    </row>
    <row r="122" spans="1:16" s="3" customFormat="1">
      <c r="A122" s="77"/>
      <c r="B122" s="78"/>
      <c r="C122" s="78"/>
      <c r="D122" s="31"/>
      <c r="E122" s="32"/>
      <c r="F122" s="127" t="s">
        <v>97</v>
      </c>
      <c r="G122" s="128">
        <f>G83</f>
        <v>690942900</v>
      </c>
      <c r="H122" s="172" t="s">
        <v>133</v>
      </c>
      <c r="I122" s="170">
        <v>1205311784</v>
      </c>
      <c r="J122" s="174"/>
      <c r="K122" s="80"/>
      <c r="L122" s="80"/>
      <c r="M122" s="244" t="s">
        <v>178</v>
      </c>
      <c r="N122" s="244"/>
      <c r="O122" s="244"/>
      <c r="P122" s="80"/>
    </row>
    <row r="123" spans="1:16" s="3" customFormat="1" ht="17.25" customHeight="1">
      <c r="A123" s="32"/>
      <c r="B123" s="82"/>
      <c r="C123" s="78"/>
      <c r="D123" s="83"/>
      <c r="E123" s="80"/>
      <c r="F123" s="178" t="s">
        <v>98</v>
      </c>
      <c r="G123" s="155">
        <f>G61</f>
        <v>389086600</v>
      </c>
      <c r="H123" s="175" t="s">
        <v>134</v>
      </c>
      <c r="I123" s="173">
        <v>0</v>
      </c>
      <c r="J123" s="174"/>
      <c r="K123" s="80"/>
      <c r="L123" s="80"/>
      <c r="M123" s="250" t="s">
        <v>139</v>
      </c>
      <c r="N123" s="250"/>
      <c r="O123" s="250"/>
      <c r="P123" s="85" t="s">
        <v>0</v>
      </c>
    </row>
    <row r="124" spans="1:16" s="3" customFormat="1" ht="18" customHeight="1">
      <c r="A124" s="32"/>
      <c r="B124" s="82"/>
      <c r="C124" s="78"/>
      <c r="D124" s="83"/>
      <c r="E124" s="32"/>
      <c r="F124" s="179" t="s">
        <v>99</v>
      </c>
      <c r="G124" s="154">
        <f>G54</f>
        <v>637720000</v>
      </c>
      <c r="H124" s="176"/>
      <c r="I124" s="174"/>
      <c r="J124" s="174"/>
      <c r="K124" s="80"/>
      <c r="L124" s="80"/>
      <c r="M124" s="251"/>
      <c r="N124" s="251"/>
      <c r="O124" s="251"/>
      <c r="P124" s="87"/>
    </row>
    <row r="125" spans="1:16" s="3" customFormat="1">
      <c r="A125" s="1"/>
      <c r="B125" s="88"/>
      <c r="C125" s="89"/>
      <c r="D125" s="90"/>
      <c r="E125" s="1"/>
      <c r="F125" s="180" t="s">
        <v>100</v>
      </c>
      <c r="G125" s="156">
        <f>G89+G95+G98</f>
        <v>753381950</v>
      </c>
      <c r="H125" s="91"/>
      <c r="I125" s="1"/>
      <c r="M125" s="246"/>
      <c r="N125" s="246"/>
      <c r="O125" s="246"/>
    </row>
    <row r="126" spans="1:16" s="3" customFormat="1">
      <c r="A126" s="1"/>
      <c r="B126" s="88"/>
      <c r="C126" s="89"/>
      <c r="D126" s="90"/>
      <c r="E126" s="1"/>
      <c r="F126" s="180" t="s">
        <v>101</v>
      </c>
      <c r="G126" s="157">
        <f>G105+G113+G116</f>
        <v>2677601700</v>
      </c>
      <c r="H126" s="91"/>
      <c r="I126" s="1"/>
      <c r="M126" s="245" t="s">
        <v>136</v>
      </c>
      <c r="N126" s="245"/>
      <c r="O126" s="245"/>
    </row>
    <row r="127" spans="1:16" s="3" customFormat="1" ht="15" customHeight="1">
      <c r="A127" s="1"/>
      <c r="B127" s="88"/>
      <c r="C127" s="89"/>
      <c r="D127" s="90"/>
      <c r="E127" s="1"/>
      <c r="F127" s="181" t="s">
        <v>102</v>
      </c>
      <c r="G127" s="158">
        <f>SUM(G120:G126)</f>
        <v>14910697740</v>
      </c>
      <c r="H127" s="91"/>
      <c r="I127" s="1"/>
      <c r="M127" s="242" t="s">
        <v>137</v>
      </c>
      <c r="N127" s="242"/>
      <c r="O127" s="242"/>
    </row>
    <row r="128" spans="1:16" s="3" customFormat="1" ht="15" customHeight="1">
      <c r="A128" s="1" t="s">
        <v>0</v>
      </c>
      <c r="B128" s="88"/>
      <c r="C128" s="89"/>
      <c r="D128" s="90"/>
      <c r="E128" s="1"/>
      <c r="F128" s="1"/>
      <c r="G128" s="158"/>
      <c r="H128" s="91"/>
      <c r="M128" s="242" t="s">
        <v>138</v>
      </c>
      <c r="N128" s="242"/>
      <c r="O128" s="242"/>
    </row>
    <row r="129" spans="1:8">
      <c r="A129" s="93"/>
      <c r="B129" s="94"/>
      <c r="C129" s="95"/>
      <c r="D129" s="96"/>
      <c r="E129" s="93"/>
      <c r="F129" s="93"/>
      <c r="G129" s="159"/>
      <c r="H129" s="98"/>
    </row>
    <row r="130" spans="1:8">
      <c r="A130" s="93"/>
      <c r="B130" s="94"/>
      <c r="C130" s="95"/>
      <c r="D130" s="96"/>
      <c r="E130" s="93"/>
      <c r="F130" s="93"/>
      <c r="G130" s="97"/>
      <c r="H130" s="98"/>
    </row>
    <row r="131" spans="1:8">
      <c r="A131" s="93"/>
      <c r="B131" s="94"/>
      <c r="C131" s="95"/>
      <c r="D131" s="96"/>
      <c r="E131" s="93"/>
      <c r="F131" s="93"/>
      <c r="G131" s="97"/>
      <c r="H131" s="98"/>
    </row>
  </sheetData>
  <mergeCells count="33">
    <mergeCell ref="M128:O128"/>
    <mergeCell ref="M122:O122"/>
    <mergeCell ref="M124:O124"/>
    <mergeCell ref="M125:O125"/>
    <mergeCell ref="M126:O126"/>
    <mergeCell ref="M127:O127"/>
    <mergeCell ref="M123:O12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0.7" right="0.7" top="0.75" bottom="0.75" header="0.3" footer="0.3"/>
  <pageSetup paperSize="5" scale="22" orientation="landscape" horizontalDpi="4294967292" verticalDpi="4294967295" r:id="rId1"/>
  <rowBreaks count="1" manualBreakCount="1">
    <brk id="130" max="17" man="1"/>
  </rowBreaks>
</worksheet>
</file>

<file path=xl/worksheets/sheet4.xml><?xml version="1.0" encoding="utf-8"?>
<worksheet xmlns="http://schemas.openxmlformats.org/spreadsheetml/2006/main" xmlns:r="http://schemas.openxmlformats.org/officeDocument/2006/relationships">
  <dimension ref="A1:R131"/>
  <sheetViews>
    <sheetView showGridLines="0" view="pageBreakPreview" topLeftCell="E115" zoomScaleNormal="100" zoomScaleSheetLayoutView="100" workbookViewId="0">
      <selection activeCell="M122" sqref="M122:O129"/>
    </sheetView>
  </sheetViews>
  <sheetFormatPr defaultColWidth="9.140625" defaultRowHeight="15"/>
  <cols>
    <col min="1" max="1" width="2.85546875" style="99" customWidth="1"/>
    <col min="2" max="3" width="2.85546875" style="100" customWidth="1"/>
    <col min="4" max="4" width="4.42578125" style="101" customWidth="1"/>
    <col min="5" max="5" width="3.7109375" style="99" customWidth="1"/>
    <col min="6" max="6" width="68.140625" style="99" customWidth="1"/>
    <col min="7" max="7" width="17.28515625" style="102" customWidth="1"/>
    <col min="8" max="8" width="8.28515625" style="63" customWidth="1"/>
    <col min="9" max="9" width="14" style="64" customWidth="1"/>
    <col min="10" max="10" width="7.7109375" style="64" customWidth="1"/>
    <col min="11" max="11" width="15" style="64" customWidth="1"/>
    <col min="12" max="12" width="8.140625" style="64" customWidth="1"/>
    <col min="13" max="13" width="14.28515625" style="64" customWidth="1"/>
    <col min="14" max="14" width="7.42578125" style="64" customWidth="1"/>
    <col min="15" max="15" width="7.85546875" style="64" customWidth="1"/>
    <col min="16" max="16" width="15.8554687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86</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60"/>
      <c r="B4" s="60"/>
      <c r="C4" s="60"/>
      <c r="D4" s="61"/>
      <c r="E4" s="60"/>
      <c r="F4" s="60"/>
      <c r="G4" s="62"/>
    </row>
    <row r="5" spans="1:17" ht="15" customHeight="1">
      <c r="A5" s="267" t="s">
        <v>113</v>
      </c>
      <c r="B5" s="257"/>
      <c r="C5" s="257"/>
      <c r="D5" s="257"/>
      <c r="E5" s="257"/>
      <c r="F5" s="65" t="s">
        <v>44</v>
      </c>
      <c r="G5" s="66"/>
      <c r="H5" s="66"/>
      <c r="I5" s="66"/>
      <c r="J5" s="66"/>
      <c r="K5" s="66"/>
      <c r="L5" s="66"/>
      <c r="M5" s="66"/>
      <c r="N5" s="66"/>
      <c r="O5" s="66"/>
      <c r="P5" s="66"/>
    </row>
    <row r="6" spans="1:17" ht="15" customHeight="1">
      <c r="A6" s="267" t="s">
        <v>112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02" t="s">
        <v>45</v>
      </c>
      <c r="G7" s="68"/>
      <c r="H7" s="69"/>
      <c r="I7" s="70"/>
      <c r="J7" s="70"/>
      <c r="K7" s="70"/>
      <c r="L7" s="70"/>
      <c r="M7" s="70"/>
      <c r="N7" s="70"/>
      <c r="O7" s="70"/>
      <c r="P7" s="70"/>
    </row>
    <row r="8" spans="1:17" ht="15" customHeight="1">
      <c r="A8" s="257" t="s">
        <v>40</v>
      </c>
      <c r="B8" s="257"/>
      <c r="C8" s="257"/>
      <c r="D8" s="257"/>
      <c r="E8" s="257"/>
      <c r="F8" s="202" t="s">
        <v>184</v>
      </c>
      <c r="G8" s="68"/>
      <c r="H8" s="69"/>
      <c r="I8" s="70"/>
      <c r="J8" s="70"/>
      <c r="K8" s="70"/>
      <c r="L8" s="70"/>
      <c r="M8" s="70"/>
      <c r="N8" s="70"/>
      <c r="O8" s="70"/>
      <c r="P8" s="70"/>
    </row>
    <row r="9" spans="1:17" ht="15" customHeight="1">
      <c r="A9" s="71"/>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135</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00" t="s">
        <v>30</v>
      </c>
      <c r="P12" s="252"/>
      <c r="Q12" s="74"/>
    </row>
    <row r="13" spans="1:17" ht="15" customHeight="1">
      <c r="A13" s="255"/>
      <c r="B13" s="255"/>
      <c r="C13" s="255"/>
      <c r="D13" s="255"/>
      <c r="E13" s="255"/>
      <c r="F13" s="263"/>
      <c r="G13" s="252"/>
      <c r="H13" s="256"/>
      <c r="I13" s="200" t="s">
        <v>29</v>
      </c>
      <c r="J13" s="200" t="s">
        <v>28</v>
      </c>
      <c r="K13" s="200" t="s">
        <v>29</v>
      </c>
      <c r="L13" s="200" t="s">
        <v>28</v>
      </c>
      <c r="M13" s="200" t="s">
        <v>29</v>
      </c>
      <c r="N13" s="200" t="s">
        <v>28</v>
      </c>
      <c r="O13" s="200" t="s">
        <v>28</v>
      </c>
      <c r="P13" s="252"/>
      <c r="Q13" s="74"/>
    </row>
    <row r="14" spans="1:17" s="75" customFormat="1" ht="15" customHeight="1">
      <c r="A14" s="247">
        <v>1</v>
      </c>
      <c r="B14" s="248"/>
      <c r="C14" s="248"/>
      <c r="D14" s="248"/>
      <c r="E14" s="249"/>
      <c r="F14" s="110">
        <v>2</v>
      </c>
      <c r="G14" s="111">
        <v>3</v>
      </c>
      <c r="H14" s="112">
        <v>4</v>
      </c>
      <c r="I14" s="113">
        <v>5</v>
      </c>
      <c r="J14" s="113">
        <v>6</v>
      </c>
      <c r="K14" s="113">
        <v>8</v>
      </c>
      <c r="L14" s="113">
        <v>9</v>
      </c>
      <c r="M14" s="113">
        <v>11</v>
      </c>
      <c r="N14" s="113">
        <v>12</v>
      </c>
      <c r="O14" s="113">
        <v>13</v>
      </c>
      <c r="P14" s="113">
        <v>14</v>
      </c>
    </row>
    <row r="15" spans="1:17" s="152" customFormat="1" ht="30" customHeight="1">
      <c r="A15" s="147"/>
      <c r="B15" s="148"/>
      <c r="C15" s="148"/>
      <c r="D15" s="148"/>
      <c r="E15" s="149"/>
      <c r="F15" s="140" t="s">
        <v>107</v>
      </c>
      <c r="G15" s="153">
        <f>G16</f>
        <v>9332143890</v>
      </c>
      <c r="H15" s="150"/>
      <c r="I15" s="151"/>
      <c r="J15" s="151"/>
      <c r="K15" s="151"/>
      <c r="L15" s="151"/>
      <c r="M15" s="151"/>
      <c r="N15" s="151"/>
      <c r="O15" s="151"/>
      <c r="P15" s="151"/>
    </row>
    <row r="16" spans="1:17" s="4" customFormat="1" ht="22.5" customHeight="1">
      <c r="A16" s="36">
        <v>2</v>
      </c>
      <c r="B16" s="36">
        <v>8</v>
      </c>
      <c r="C16" s="36">
        <v>1</v>
      </c>
      <c r="D16" s="37"/>
      <c r="E16" s="36"/>
      <c r="F16" s="38" t="s">
        <v>93</v>
      </c>
      <c r="G16" s="39">
        <f>G17+G25+G29+G33+G41+G45+G50</f>
        <v>9332143890</v>
      </c>
      <c r="H16" s="40">
        <f t="shared" ref="H16:H41" si="0">+G16/$G$119*100%</f>
        <v>0.62586902723976756</v>
      </c>
      <c r="I16" s="39">
        <f>Maret!M16</f>
        <v>1798388516</v>
      </c>
      <c r="J16" s="42">
        <f>Maret!N16</f>
        <v>19.270904276637765</v>
      </c>
      <c r="K16" s="39">
        <f>K17+K25+K29+K33+K45+K50</f>
        <v>590593979</v>
      </c>
      <c r="L16" s="43">
        <f t="shared" ref="L16:L29" si="1">K16/G16*100</f>
        <v>6.3285991510788842</v>
      </c>
      <c r="M16" s="39">
        <f t="shared" ref="M16:M29" si="2">I16+K16</f>
        <v>2388982495</v>
      </c>
      <c r="N16" s="43">
        <f t="shared" ref="N16:N29" si="3">M16/G16*100</f>
        <v>25.599503427716652</v>
      </c>
      <c r="O16" s="44"/>
      <c r="P16" s="39">
        <f t="shared" ref="P16:P29" si="4">G16-M16</f>
        <v>6943161395</v>
      </c>
    </row>
    <row r="17" spans="1:18" s="106" customFormat="1" ht="22.5" customHeight="1">
      <c r="A17" s="5">
        <v>2</v>
      </c>
      <c r="B17" s="5">
        <v>8</v>
      </c>
      <c r="C17" s="5">
        <v>1</v>
      </c>
      <c r="D17" s="6" t="s">
        <v>8</v>
      </c>
      <c r="E17" s="5"/>
      <c r="F17" s="7" t="s">
        <v>27</v>
      </c>
      <c r="G17" s="45">
        <f>SUM(G18:G24)</f>
        <v>41406100</v>
      </c>
      <c r="H17" s="9">
        <f t="shared" si="0"/>
        <v>2.7769391293421793E-3</v>
      </c>
      <c r="I17" s="8">
        <f>Maret!M17</f>
        <v>0</v>
      </c>
      <c r="J17" s="11">
        <f>Maret!N17</f>
        <v>0</v>
      </c>
      <c r="K17" s="45">
        <f>SUM(K18:K24)</f>
        <v>0</v>
      </c>
      <c r="L17" s="12">
        <f t="shared" si="1"/>
        <v>0</v>
      </c>
      <c r="M17" s="8">
        <f t="shared" si="2"/>
        <v>0</v>
      </c>
      <c r="N17" s="12">
        <f t="shared" si="3"/>
        <v>0</v>
      </c>
      <c r="O17" s="13"/>
      <c r="P17" s="8">
        <f t="shared" si="4"/>
        <v>41406100</v>
      </c>
      <c r="R17" s="107"/>
    </row>
    <row r="18" spans="1:18" s="3" customFormat="1" ht="22.5" customHeight="1">
      <c r="A18" s="14">
        <v>2</v>
      </c>
      <c r="B18" s="14">
        <v>8</v>
      </c>
      <c r="C18" s="14">
        <v>1</v>
      </c>
      <c r="D18" s="15" t="s">
        <v>8</v>
      </c>
      <c r="E18" s="14">
        <v>1</v>
      </c>
      <c r="F18" s="16" t="s">
        <v>49</v>
      </c>
      <c r="G18" s="17">
        <v>7249700</v>
      </c>
      <c r="H18" s="18">
        <f t="shared" si="0"/>
        <v>4.8620796467167875E-4</v>
      </c>
      <c r="I18" s="30">
        <f>Maret!M18</f>
        <v>0</v>
      </c>
      <c r="J18" s="28">
        <f>Maret!N18</f>
        <v>0</v>
      </c>
      <c r="K18" s="21">
        <v>0</v>
      </c>
      <c r="L18" s="20">
        <f t="shared" si="1"/>
        <v>0</v>
      </c>
      <c r="M18" s="30">
        <f t="shared" si="2"/>
        <v>0</v>
      </c>
      <c r="N18" s="29">
        <f t="shared" si="3"/>
        <v>0</v>
      </c>
      <c r="O18" s="22"/>
      <c r="P18" s="21">
        <f t="shared" si="4"/>
        <v>7249700</v>
      </c>
      <c r="R18" s="76"/>
    </row>
    <row r="19" spans="1:18" s="3" customFormat="1" ht="22.5" customHeight="1">
      <c r="A19" s="14">
        <v>2</v>
      </c>
      <c r="B19" s="14">
        <v>8</v>
      </c>
      <c r="C19" s="14">
        <v>1</v>
      </c>
      <c r="D19" s="15" t="s">
        <v>8</v>
      </c>
      <c r="E19" s="14">
        <v>2</v>
      </c>
      <c r="F19" s="16" t="s">
        <v>50</v>
      </c>
      <c r="G19" s="17">
        <v>6750400</v>
      </c>
      <c r="H19" s="18">
        <f t="shared" si="0"/>
        <v>4.5272193948986856E-4</v>
      </c>
      <c r="I19" s="30">
        <f>Maret!M19</f>
        <v>0</v>
      </c>
      <c r="J19" s="28">
        <f>Maret!N19</f>
        <v>0</v>
      </c>
      <c r="K19" s="21">
        <v>0</v>
      </c>
      <c r="L19" s="20">
        <f t="shared" si="1"/>
        <v>0</v>
      </c>
      <c r="M19" s="30">
        <f t="shared" si="2"/>
        <v>0</v>
      </c>
      <c r="N19" s="29">
        <f t="shared" si="3"/>
        <v>0</v>
      </c>
      <c r="O19" s="22"/>
      <c r="P19" s="21">
        <f t="shared" si="4"/>
        <v>6750400</v>
      </c>
      <c r="R19" s="76"/>
    </row>
    <row r="20" spans="1:18" s="3" customFormat="1" ht="22.5" customHeight="1">
      <c r="A20" s="14">
        <v>2</v>
      </c>
      <c r="B20" s="14">
        <v>8</v>
      </c>
      <c r="C20" s="14">
        <v>1</v>
      </c>
      <c r="D20" s="15" t="s">
        <v>8</v>
      </c>
      <c r="E20" s="14">
        <v>3</v>
      </c>
      <c r="F20" s="16" t="s">
        <v>51</v>
      </c>
      <c r="G20" s="17">
        <v>8800000</v>
      </c>
      <c r="H20" s="18">
        <f t="shared" si="0"/>
        <v>5.9018029561371823E-4</v>
      </c>
      <c r="I20" s="30">
        <f>Maret!M20</f>
        <v>0</v>
      </c>
      <c r="J20" s="28">
        <f>Maret!N20</f>
        <v>0</v>
      </c>
      <c r="K20" s="21">
        <v>0</v>
      </c>
      <c r="L20" s="20">
        <f t="shared" si="1"/>
        <v>0</v>
      </c>
      <c r="M20" s="30">
        <f t="shared" si="2"/>
        <v>0</v>
      </c>
      <c r="N20" s="29">
        <f t="shared" si="3"/>
        <v>0</v>
      </c>
      <c r="O20" s="22"/>
      <c r="P20" s="21">
        <f t="shared" si="4"/>
        <v>8800000</v>
      </c>
      <c r="R20" s="76"/>
    </row>
    <row r="21" spans="1:18" s="3" customFormat="1" ht="22.5" customHeight="1">
      <c r="A21" s="14">
        <v>2</v>
      </c>
      <c r="B21" s="14">
        <v>8</v>
      </c>
      <c r="C21" s="14">
        <v>1</v>
      </c>
      <c r="D21" s="15" t="s">
        <v>8</v>
      </c>
      <c r="E21" s="14">
        <v>4</v>
      </c>
      <c r="F21" s="16" t="s">
        <v>52</v>
      </c>
      <c r="G21" s="17">
        <v>2545000</v>
      </c>
      <c r="H21" s="18">
        <f t="shared" si="0"/>
        <v>1.7068282412919465E-4</v>
      </c>
      <c r="I21" s="30">
        <f>Maret!M21</f>
        <v>0</v>
      </c>
      <c r="J21" s="28">
        <f>Maret!N21</f>
        <v>0</v>
      </c>
      <c r="K21" s="21">
        <v>0</v>
      </c>
      <c r="L21" s="20">
        <f t="shared" si="1"/>
        <v>0</v>
      </c>
      <c r="M21" s="30">
        <f t="shared" si="2"/>
        <v>0</v>
      </c>
      <c r="N21" s="29">
        <f t="shared" si="3"/>
        <v>0</v>
      </c>
      <c r="O21" s="22"/>
      <c r="P21" s="21">
        <f t="shared" si="4"/>
        <v>2545000</v>
      </c>
      <c r="R21" s="76"/>
    </row>
    <row r="22" spans="1:18" s="3" customFormat="1" ht="22.5" customHeight="1">
      <c r="A22" s="14">
        <v>2</v>
      </c>
      <c r="B22" s="14">
        <v>8</v>
      </c>
      <c r="C22" s="14">
        <v>1</v>
      </c>
      <c r="D22" s="15" t="s">
        <v>8</v>
      </c>
      <c r="E22" s="14">
        <v>5</v>
      </c>
      <c r="F22" s="16" t="s">
        <v>53</v>
      </c>
      <c r="G22" s="17">
        <v>2675000</v>
      </c>
      <c r="H22" s="18">
        <f t="shared" si="0"/>
        <v>1.7940139667803367E-4</v>
      </c>
      <c r="I22" s="30">
        <f>Maret!M22</f>
        <v>0</v>
      </c>
      <c r="J22" s="28">
        <f>Maret!N22</f>
        <v>0</v>
      </c>
      <c r="K22" s="21">
        <v>0</v>
      </c>
      <c r="L22" s="20">
        <f t="shared" si="1"/>
        <v>0</v>
      </c>
      <c r="M22" s="30">
        <f t="shared" si="2"/>
        <v>0</v>
      </c>
      <c r="N22" s="29">
        <f t="shared" si="3"/>
        <v>0</v>
      </c>
      <c r="O22" s="22"/>
      <c r="P22" s="21">
        <f t="shared" si="4"/>
        <v>2675000</v>
      </c>
      <c r="R22" s="76"/>
    </row>
    <row r="23" spans="1:18" s="3" customFormat="1" ht="31.5" customHeight="1">
      <c r="A23" s="14">
        <v>2</v>
      </c>
      <c r="B23" s="14">
        <v>8</v>
      </c>
      <c r="C23" s="14">
        <v>1</v>
      </c>
      <c r="D23" s="15" t="s">
        <v>8</v>
      </c>
      <c r="E23" s="14">
        <v>6</v>
      </c>
      <c r="F23" s="16" t="s">
        <v>54</v>
      </c>
      <c r="G23" s="17">
        <v>6851000</v>
      </c>
      <c r="H23" s="18">
        <f t="shared" si="0"/>
        <v>4.5946877332381632E-4</v>
      </c>
      <c r="I23" s="30">
        <f>Maret!M23</f>
        <v>0</v>
      </c>
      <c r="J23" s="28">
        <f>Maret!N23</f>
        <v>0</v>
      </c>
      <c r="K23" s="21">
        <v>0</v>
      </c>
      <c r="L23" s="20">
        <f t="shared" si="1"/>
        <v>0</v>
      </c>
      <c r="M23" s="30">
        <f t="shared" si="2"/>
        <v>0</v>
      </c>
      <c r="N23" s="29">
        <f t="shared" si="3"/>
        <v>0</v>
      </c>
      <c r="O23" s="22"/>
      <c r="P23" s="21">
        <f t="shared" si="4"/>
        <v>6851000</v>
      </c>
      <c r="R23" s="76"/>
    </row>
    <row r="24" spans="1:18" s="3" customFormat="1" ht="22.5" customHeight="1">
      <c r="A24" s="14">
        <v>2</v>
      </c>
      <c r="B24" s="14">
        <v>8</v>
      </c>
      <c r="C24" s="14">
        <v>1</v>
      </c>
      <c r="D24" s="15" t="s">
        <v>8</v>
      </c>
      <c r="E24" s="14">
        <v>7</v>
      </c>
      <c r="F24" s="16" t="s">
        <v>55</v>
      </c>
      <c r="G24" s="17">
        <v>6535000</v>
      </c>
      <c r="H24" s="18">
        <f t="shared" si="0"/>
        <v>4.3827593543586913E-4</v>
      </c>
      <c r="I24" s="30">
        <f>Maret!M24</f>
        <v>0</v>
      </c>
      <c r="J24" s="28">
        <f>Maret!N24</f>
        <v>0</v>
      </c>
      <c r="K24" s="21">
        <v>0</v>
      </c>
      <c r="L24" s="20">
        <f t="shared" si="1"/>
        <v>0</v>
      </c>
      <c r="M24" s="30">
        <f t="shared" si="2"/>
        <v>0</v>
      </c>
      <c r="N24" s="29">
        <f t="shared" si="3"/>
        <v>0</v>
      </c>
      <c r="O24" s="22"/>
      <c r="P24" s="21">
        <f t="shared" si="4"/>
        <v>6535000</v>
      </c>
      <c r="R24" s="76"/>
    </row>
    <row r="25" spans="1:18" s="106" customFormat="1" ht="22.5" customHeight="1">
      <c r="A25" s="5">
        <v>2</v>
      </c>
      <c r="B25" s="5">
        <v>8</v>
      </c>
      <c r="C25" s="5">
        <v>1</v>
      </c>
      <c r="D25" s="6" t="s">
        <v>7</v>
      </c>
      <c r="E25" s="5"/>
      <c r="F25" s="7" t="s">
        <v>26</v>
      </c>
      <c r="G25" s="45">
        <f>SUM(G26:G28)</f>
        <v>7153137563</v>
      </c>
      <c r="H25" s="9">
        <f t="shared" si="0"/>
        <v>0.47973191380646951</v>
      </c>
      <c r="I25" s="8">
        <f>Maret!M25</f>
        <v>1706128713</v>
      </c>
      <c r="J25" s="11">
        <f>Maret!N25</f>
        <v>23.851473538339949</v>
      </c>
      <c r="K25" s="45">
        <f>SUM(K26:K28)</f>
        <v>484254681</v>
      </c>
      <c r="L25" s="12">
        <f t="shared" si="1"/>
        <v>6.7698220079652067</v>
      </c>
      <c r="M25" s="8">
        <f t="shared" si="2"/>
        <v>2190383394</v>
      </c>
      <c r="N25" s="12">
        <f t="shared" si="3"/>
        <v>30.621295546305156</v>
      </c>
      <c r="O25" s="13"/>
      <c r="P25" s="8">
        <f t="shared" si="4"/>
        <v>4962754169</v>
      </c>
    </row>
    <row r="26" spans="1:18" s="3" customFormat="1" ht="22.5" customHeight="1">
      <c r="A26" s="14">
        <v>2</v>
      </c>
      <c r="B26" s="14">
        <v>8</v>
      </c>
      <c r="C26" s="14">
        <v>1</v>
      </c>
      <c r="D26" s="15" t="s">
        <v>7</v>
      </c>
      <c r="E26" s="14">
        <v>1</v>
      </c>
      <c r="F26" s="16" t="s">
        <v>56</v>
      </c>
      <c r="G26" s="17">
        <v>7089489563</v>
      </c>
      <c r="H26" s="18">
        <f t="shared" si="0"/>
        <v>0.47546330068655795</v>
      </c>
      <c r="I26" s="21">
        <f>Maret!M26</f>
        <v>1702698713</v>
      </c>
      <c r="J26" s="190">
        <f>Maret!N26</f>
        <v>24.017225751856291</v>
      </c>
      <c r="K26" s="21">
        <f>277104622+4172017+196042538+2469504</f>
        <v>479788681</v>
      </c>
      <c r="L26" s="20">
        <f t="shared" si="1"/>
        <v>6.7676054352913368</v>
      </c>
      <c r="M26" s="21">
        <f t="shared" si="2"/>
        <v>2182487394</v>
      </c>
      <c r="N26" s="20">
        <f t="shared" si="3"/>
        <v>30.784831187147628</v>
      </c>
      <c r="O26" s="22"/>
      <c r="P26" s="21">
        <f t="shared" si="4"/>
        <v>4907002169</v>
      </c>
    </row>
    <row r="27" spans="1:18" s="3" customFormat="1" ht="22.5" customHeight="1">
      <c r="A27" s="14">
        <v>2</v>
      </c>
      <c r="B27" s="14">
        <v>8</v>
      </c>
      <c r="C27" s="14">
        <v>1</v>
      </c>
      <c r="D27" s="15" t="s">
        <v>7</v>
      </c>
      <c r="E27" s="14">
        <v>2</v>
      </c>
      <c r="F27" s="16" t="s">
        <v>57</v>
      </c>
      <c r="G27" s="17">
        <v>57247000</v>
      </c>
      <c r="H27" s="18">
        <f t="shared" si="0"/>
        <v>3.8393240207952872E-3</v>
      </c>
      <c r="I27" s="21">
        <f>Maret!M27</f>
        <v>3430000</v>
      </c>
      <c r="J27" s="190">
        <f>Maret!N27</f>
        <v>5.9915803448215632</v>
      </c>
      <c r="K27" s="21">
        <f>625000+1090000</f>
        <v>1715000</v>
      </c>
      <c r="L27" s="20">
        <f t="shared" si="1"/>
        <v>2.9957901724107816</v>
      </c>
      <c r="M27" s="21">
        <f t="shared" si="2"/>
        <v>5145000</v>
      </c>
      <c r="N27" s="20">
        <f t="shared" si="3"/>
        <v>8.9873705172323444</v>
      </c>
      <c r="O27" s="22"/>
      <c r="P27" s="21">
        <f t="shared" si="4"/>
        <v>52102000</v>
      </c>
    </row>
    <row r="28" spans="1:18" s="3" customFormat="1" ht="22.5" customHeight="1">
      <c r="A28" s="14">
        <v>2</v>
      </c>
      <c r="B28" s="14">
        <v>8</v>
      </c>
      <c r="C28" s="14">
        <v>1</v>
      </c>
      <c r="D28" s="15" t="s">
        <v>7</v>
      </c>
      <c r="E28" s="14">
        <v>5</v>
      </c>
      <c r="F28" s="16" t="s">
        <v>58</v>
      </c>
      <c r="G28" s="17">
        <v>6401000</v>
      </c>
      <c r="H28" s="18">
        <f t="shared" si="0"/>
        <v>4.2928909911629662E-4</v>
      </c>
      <c r="I28" s="21">
        <f>Maret!M28</f>
        <v>0</v>
      </c>
      <c r="J28" s="190">
        <f>Maret!N28</f>
        <v>0</v>
      </c>
      <c r="K28" s="21">
        <f>2400000+351000</f>
        <v>2751000</v>
      </c>
      <c r="L28" s="20">
        <f t="shared" si="1"/>
        <v>42.977659740665516</v>
      </c>
      <c r="M28" s="21">
        <f t="shared" si="2"/>
        <v>2751000</v>
      </c>
      <c r="N28" s="20">
        <f t="shared" si="3"/>
        <v>42.977659740665516</v>
      </c>
      <c r="O28" s="22"/>
      <c r="P28" s="21">
        <f t="shared" si="4"/>
        <v>3650000</v>
      </c>
    </row>
    <row r="29" spans="1:18" s="35" customFormat="1" ht="22.5" customHeight="1">
      <c r="A29" s="5">
        <v>2</v>
      </c>
      <c r="B29" s="5">
        <v>8</v>
      </c>
      <c r="C29" s="5">
        <v>1</v>
      </c>
      <c r="D29" s="6" t="s">
        <v>14</v>
      </c>
      <c r="E29" s="5"/>
      <c r="F29" s="7" t="s">
        <v>25</v>
      </c>
      <c r="G29" s="45">
        <f>SUM(G30:G32)</f>
        <v>13830000</v>
      </c>
      <c r="H29" s="9">
        <f t="shared" si="0"/>
        <v>9.2752198731110489E-4</v>
      </c>
      <c r="I29" s="8">
        <f>Maret!M29</f>
        <v>1700000</v>
      </c>
      <c r="J29" s="11">
        <f>Maret!N29</f>
        <v>12.292118582791034</v>
      </c>
      <c r="K29" s="45">
        <f>K32</f>
        <v>850000</v>
      </c>
      <c r="L29" s="12">
        <f t="shared" si="1"/>
        <v>6.1460592913955168</v>
      </c>
      <c r="M29" s="8">
        <f t="shared" si="2"/>
        <v>2550000</v>
      </c>
      <c r="N29" s="12">
        <f t="shared" si="3"/>
        <v>18.43817787418655</v>
      </c>
      <c r="O29" s="13"/>
      <c r="P29" s="8">
        <f t="shared" si="4"/>
        <v>11280000</v>
      </c>
    </row>
    <row r="30" spans="1:18" s="35" customFormat="1" ht="22.5" customHeight="1">
      <c r="A30" s="14">
        <v>2</v>
      </c>
      <c r="B30" s="14">
        <v>8</v>
      </c>
      <c r="C30" s="14">
        <v>1</v>
      </c>
      <c r="D30" s="15" t="s">
        <v>14</v>
      </c>
      <c r="E30" s="14">
        <v>1</v>
      </c>
      <c r="F30" s="166" t="s">
        <v>114</v>
      </c>
      <c r="G30" s="17">
        <v>1045000</v>
      </c>
      <c r="H30" s="18">
        <f t="shared" si="0"/>
        <v>7.0083910104129035E-5</v>
      </c>
      <c r="I30" s="21">
        <f>Maret!M30</f>
        <v>0</v>
      </c>
      <c r="J30" s="190">
        <f>Maret!N30</f>
        <v>0</v>
      </c>
      <c r="K30" s="164"/>
      <c r="L30" s="20"/>
      <c r="M30" s="30"/>
      <c r="N30" s="29"/>
      <c r="O30" s="165"/>
      <c r="P30" s="30"/>
    </row>
    <row r="31" spans="1:18" s="35" customFormat="1" ht="22.5" customHeight="1">
      <c r="A31" s="14">
        <v>2</v>
      </c>
      <c r="B31" s="14">
        <v>8</v>
      </c>
      <c r="C31" s="14">
        <v>1</v>
      </c>
      <c r="D31" s="15" t="s">
        <v>14</v>
      </c>
      <c r="E31" s="14">
        <v>5</v>
      </c>
      <c r="F31" s="166" t="s">
        <v>115</v>
      </c>
      <c r="G31" s="17">
        <v>1100000</v>
      </c>
      <c r="H31" s="18">
        <f t="shared" si="0"/>
        <v>7.3772536951714778E-5</v>
      </c>
      <c r="I31" s="21">
        <f>Maret!M31</f>
        <v>0</v>
      </c>
      <c r="J31" s="190">
        <f>Maret!N31</f>
        <v>0</v>
      </c>
      <c r="K31" s="164"/>
      <c r="L31" s="20"/>
      <c r="M31" s="30"/>
      <c r="N31" s="29"/>
      <c r="O31" s="165"/>
      <c r="P31" s="30"/>
    </row>
    <row r="32" spans="1:18" s="3" customFormat="1" ht="22.5" customHeight="1">
      <c r="A32" s="14">
        <v>2</v>
      </c>
      <c r="B32" s="14">
        <v>8</v>
      </c>
      <c r="C32" s="14">
        <v>1</v>
      </c>
      <c r="D32" s="15" t="s">
        <v>14</v>
      </c>
      <c r="E32" s="14">
        <v>6</v>
      </c>
      <c r="F32" s="16" t="s">
        <v>59</v>
      </c>
      <c r="G32" s="17">
        <v>11685000</v>
      </c>
      <c r="H32" s="18">
        <f t="shared" si="0"/>
        <v>7.83665540255261E-4</v>
      </c>
      <c r="I32" s="21">
        <f>Maret!M32</f>
        <v>1700000</v>
      </c>
      <c r="J32" s="190">
        <f>Maret!N32</f>
        <v>14.548566538296962</v>
      </c>
      <c r="K32" s="21">
        <f>850000</f>
        <v>850000</v>
      </c>
      <c r="L32" s="20">
        <f t="shared" ref="L32:L38" si="5">K32/G32*100</f>
        <v>7.2742832691484809</v>
      </c>
      <c r="M32" s="21">
        <f t="shared" ref="M32:M38" si="6">I32+K32</f>
        <v>2550000</v>
      </c>
      <c r="N32" s="20">
        <f t="shared" ref="N32:N38" si="7">M32/G32*100</f>
        <v>21.822849807445444</v>
      </c>
      <c r="O32" s="22"/>
      <c r="P32" s="21">
        <f t="shared" ref="P32:P38" si="8">G32-M32</f>
        <v>9135000</v>
      </c>
    </row>
    <row r="33" spans="1:16" s="106" customFormat="1" ht="22.5" customHeight="1">
      <c r="A33" s="5">
        <v>2</v>
      </c>
      <c r="B33" s="5">
        <v>8</v>
      </c>
      <c r="C33" s="5">
        <v>1</v>
      </c>
      <c r="D33" s="6" t="s">
        <v>24</v>
      </c>
      <c r="E33" s="5"/>
      <c r="F33" s="7" t="s">
        <v>4</v>
      </c>
      <c r="G33" s="45">
        <f>SUM(G34:G40)</f>
        <v>861641250</v>
      </c>
      <c r="H33" s="9">
        <f t="shared" si="0"/>
        <v>5.7786782686133374E-2</v>
      </c>
      <c r="I33" s="8">
        <f>Maret!M33</f>
        <v>12154803</v>
      </c>
      <c r="J33" s="11">
        <f>Maret!N33</f>
        <v>1.4106570454931215</v>
      </c>
      <c r="K33" s="45">
        <f>SUM(K34:K40)</f>
        <v>40699865</v>
      </c>
      <c r="L33" s="12">
        <f t="shared" si="5"/>
        <v>4.7235279183767025</v>
      </c>
      <c r="M33" s="8">
        <f>I33+K33</f>
        <v>52854668</v>
      </c>
      <c r="N33" s="12">
        <f t="shared" si="7"/>
        <v>6.1341849638698234</v>
      </c>
      <c r="O33" s="13"/>
      <c r="P33" s="8">
        <f t="shared" si="8"/>
        <v>808786582</v>
      </c>
    </row>
    <row r="34" spans="1:16" s="3" customFormat="1" ht="22.5" customHeight="1">
      <c r="A34" s="14">
        <v>2</v>
      </c>
      <c r="B34" s="14">
        <v>8</v>
      </c>
      <c r="C34" s="14">
        <v>1</v>
      </c>
      <c r="D34" s="15" t="s">
        <v>24</v>
      </c>
      <c r="E34" s="14">
        <v>1</v>
      </c>
      <c r="F34" s="16" t="s">
        <v>60</v>
      </c>
      <c r="G34" s="17">
        <v>7066000</v>
      </c>
      <c r="H34" s="18">
        <f t="shared" si="0"/>
        <v>4.7388795100074239E-4</v>
      </c>
      <c r="I34" s="21">
        <f>Maret!M34</f>
        <v>0</v>
      </c>
      <c r="J34" s="190">
        <f>Maret!N34</f>
        <v>0</v>
      </c>
      <c r="K34" s="21">
        <f>2775500</f>
        <v>2775500</v>
      </c>
      <c r="L34" s="20">
        <f t="shared" si="5"/>
        <v>39.27964902349278</v>
      </c>
      <c r="M34" s="21">
        <f t="shared" si="6"/>
        <v>2775500</v>
      </c>
      <c r="N34" s="20">
        <f t="shared" si="7"/>
        <v>39.27964902349278</v>
      </c>
      <c r="O34" s="22"/>
      <c r="P34" s="21">
        <f t="shared" si="8"/>
        <v>4290500</v>
      </c>
    </row>
    <row r="35" spans="1:16" s="3" customFormat="1" ht="22.5" customHeight="1">
      <c r="A35" s="14">
        <v>2</v>
      </c>
      <c r="B35" s="14">
        <v>8</v>
      </c>
      <c r="C35" s="14">
        <v>1</v>
      </c>
      <c r="D35" s="15" t="s">
        <v>24</v>
      </c>
      <c r="E35" s="14">
        <v>2</v>
      </c>
      <c r="F35" s="16" t="s">
        <v>61</v>
      </c>
      <c r="G35" s="17">
        <v>60937700</v>
      </c>
      <c r="H35" s="18">
        <f t="shared" si="0"/>
        <v>4.0868442954568266E-3</v>
      </c>
      <c r="I35" s="21">
        <f>Maret!M35</f>
        <v>0</v>
      </c>
      <c r="J35" s="190">
        <f>Maret!N35</f>
        <v>0</v>
      </c>
      <c r="K35" s="21">
        <f>717500+3799250+3510000+2500000</f>
        <v>10526750</v>
      </c>
      <c r="L35" s="20">
        <f t="shared" si="5"/>
        <v>17.274609970510866</v>
      </c>
      <c r="M35" s="21">
        <f t="shared" si="6"/>
        <v>10526750</v>
      </c>
      <c r="N35" s="20">
        <f t="shared" si="7"/>
        <v>17.274609970510866</v>
      </c>
      <c r="O35" s="22"/>
      <c r="P35" s="21">
        <f t="shared" si="8"/>
        <v>50410950</v>
      </c>
    </row>
    <row r="36" spans="1:16" s="3" customFormat="1" ht="22.5" customHeight="1">
      <c r="A36" s="14">
        <v>2</v>
      </c>
      <c r="B36" s="14">
        <v>8</v>
      </c>
      <c r="C36" s="14">
        <v>1</v>
      </c>
      <c r="D36" s="15" t="s">
        <v>24</v>
      </c>
      <c r="E36" s="14">
        <v>5</v>
      </c>
      <c r="F36" s="16" t="s">
        <v>62</v>
      </c>
      <c r="G36" s="17">
        <v>15300000</v>
      </c>
      <c r="H36" s="18">
        <f t="shared" si="0"/>
        <v>1.0261089230556692E-3</v>
      </c>
      <c r="I36" s="21">
        <f>Maret!M36</f>
        <v>0</v>
      </c>
      <c r="J36" s="190">
        <f>Maret!N36</f>
        <v>0</v>
      </c>
      <c r="K36" s="21">
        <f>200000+700000</f>
        <v>900000</v>
      </c>
      <c r="L36" s="20">
        <f t="shared" si="5"/>
        <v>5.8823529411764701</v>
      </c>
      <c r="M36" s="21">
        <f t="shared" si="6"/>
        <v>900000</v>
      </c>
      <c r="N36" s="20">
        <f t="shared" si="7"/>
        <v>5.8823529411764701</v>
      </c>
      <c r="O36" s="22"/>
      <c r="P36" s="21">
        <f t="shared" si="8"/>
        <v>14400000</v>
      </c>
    </row>
    <row r="37" spans="1:16" s="3" customFormat="1" ht="22.5" customHeight="1">
      <c r="A37" s="14">
        <v>2</v>
      </c>
      <c r="B37" s="14">
        <v>8</v>
      </c>
      <c r="C37" s="14">
        <v>1</v>
      </c>
      <c r="D37" s="15" t="s">
        <v>24</v>
      </c>
      <c r="E37" s="14">
        <v>6</v>
      </c>
      <c r="F37" s="16" t="s">
        <v>63</v>
      </c>
      <c r="G37" s="17">
        <v>12600000</v>
      </c>
      <c r="H37" s="18">
        <f t="shared" si="0"/>
        <v>8.4503087781055111E-4</v>
      </c>
      <c r="I37" s="21">
        <f>Maret!M37</f>
        <v>0</v>
      </c>
      <c r="J37" s="190">
        <f>Maret!N37</f>
        <v>0</v>
      </c>
      <c r="K37" s="21">
        <f>500000+1000000</f>
        <v>1500000</v>
      </c>
      <c r="L37" s="20">
        <f t="shared" si="5"/>
        <v>11.904761904761903</v>
      </c>
      <c r="M37" s="21">
        <f t="shared" si="6"/>
        <v>1500000</v>
      </c>
      <c r="N37" s="20">
        <f t="shared" si="7"/>
        <v>11.904761904761903</v>
      </c>
      <c r="O37" s="22"/>
      <c r="P37" s="21">
        <f t="shared" si="8"/>
        <v>11100000</v>
      </c>
    </row>
    <row r="38" spans="1:16" s="3" customFormat="1" ht="22.5" customHeight="1">
      <c r="A38" s="14">
        <v>2</v>
      </c>
      <c r="B38" s="14">
        <v>8</v>
      </c>
      <c r="C38" s="14">
        <v>1</v>
      </c>
      <c r="D38" s="15" t="s">
        <v>24</v>
      </c>
      <c r="E38" s="14">
        <v>8</v>
      </c>
      <c r="F38" s="166" t="s">
        <v>120</v>
      </c>
      <c r="G38" s="17">
        <v>8000000</v>
      </c>
      <c r="H38" s="18">
        <f t="shared" si="0"/>
        <v>5.3652754146701659E-4</v>
      </c>
      <c r="I38" s="21">
        <f>Maret!M38</f>
        <v>0</v>
      </c>
      <c r="J38" s="190">
        <f>Maret!N38</f>
        <v>0</v>
      </c>
      <c r="K38" s="21">
        <f>2000000</f>
        <v>2000000</v>
      </c>
      <c r="L38" s="20">
        <f t="shared" si="5"/>
        <v>25</v>
      </c>
      <c r="M38" s="21">
        <f t="shared" si="6"/>
        <v>2000000</v>
      </c>
      <c r="N38" s="20">
        <f t="shared" si="7"/>
        <v>25</v>
      </c>
      <c r="O38" s="22"/>
      <c r="P38" s="21">
        <f t="shared" si="8"/>
        <v>6000000</v>
      </c>
    </row>
    <row r="39" spans="1:16" s="3" customFormat="1" ht="22.5" customHeight="1">
      <c r="A39" s="14">
        <v>2</v>
      </c>
      <c r="B39" s="14">
        <v>8</v>
      </c>
      <c r="C39" s="14">
        <v>1</v>
      </c>
      <c r="D39" s="15" t="s">
        <v>24</v>
      </c>
      <c r="E39" s="14">
        <v>9</v>
      </c>
      <c r="F39" s="16" t="s">
        <v>64</v>
      </c>
      <c r="G39" s="17">
        <v>754225900</v>
      </c>
      <c r="H39" s="18">
        <f t="shared" si="0"/>
        <v>5.0582870979718482E-2</v>
      </c>
      <c r="I39" s="21">
        <f>Maret!M39</f>
        <v>12154803</v>
      </c>
      <c r="J39" s="190">
        <f>Maret!N39</f>
        <v>1.611560011397116</v>
      </c>
      <c r="K39" s="21">
        <f>2100000+240000+240000+500000+450000+2500000+9090000+6437615+1440000</f>
        <v>22997615</v>
      </c>
      <c r="L39" s="20">
        <f>K39/G39*100</f>
        <v>3.0491680277752327</v>
      </c>
      <c r="M39" s="21">
        <f>I39+K39</f>
        <v>35152418</v>
      </c>
      <c r="N39" s="20">
        <f>M39/G39*100</f>
        <v>4.6607280391723487</v>
      </c>
      <c r="O39" s="22"/>
      <c r="P39" s="21">
        <f>G39-M39</f>
        <v>719073482</v>
      </c>
    </row>
    <row r="40" spans="1:16" s="3" customFormat="1" ht="22.5" customHeight="1">
      <c r="A40" s="14">
        <v>2</v>
      </c>
      <c r="B40" s="14">
        <v>8</v>
      </c>
      <c r="C40" s="14">
        <v>1</v>
      </c>
      <c r="D40" s="15" t="s">
        <v>24</v>
      </c>
      <c r="E40" s="14">
        <v>10</v>
      </c>
      <c r="F40" s="166" t="s">
        <v>118</v>
      </c>
      <c r="G40" s="17">
        <v>3511650</v>
      </c>
      <c r="H40" s="18">
        <f t="shared" si="0"/>
        <v>2.3551211762408108E-4</v>
      </c>
      <c r="I40" s="21">
        <f>Maret!M40</f>
        <v>0</v>
      </c>
      <c r="J40" s="190">
        <f>Maret!N40</f>
        <v>0</v>
      </c>
      <c r="K40" s="21"/>
      <c r="L40" s="20">
        <f>K40/G40*100</f>
        <v>0</v>
      </c>
      <c r="M40" s="21">
        <f>I40+K40</f>
        <v>0</v>
      </c>
      <c r="N40" s="20">
        <f>M40/G40*100</f>
        <v>0</v>
      </c>
      <c r="O40" s="22"/>
      <c r="P40" s="21">
        <f>G40-M40</f>
        <v>3511650</v>
      </c>
    </row>
    <row r="41" spans="1:16" s="3" customFormat="1" ht="22.5" customHeight="1">
      <c r="A41" s="5">
        <v>2</v>
      </c>
      <c r="B41" s="5">
        <v>8</v>
      </c>
      <c r="C41" s="5">
        <v>1</v>
      </c>
      <c r="D41" s="6" t="s">
        <v>116</v>
      </c>
      <c r="E41" s="5"/>
      <c r="F41" s="167" t="s">
        <v>117</v>
      </c>
      <c r="G41" s="45">
        <f>SUM(G42:G44)</f>
        <v>436053900</v>
      </c>
      <c r="H41" s="9">
        <f t="shared" si="0"/>
        <v>2.9244365864263037E-2</v>
      </c>
      <c r="I41" s="8">
        <f>Maret!M41</f>
        <v>0</v>
      </c>
      <c r="J41" s="11">
        <f>Maret!N41</f>
        <v>0</v>
      </c>
      <c r="K41" s="45"/>
      <c r="L41" s="12">
        <f>K41/G41*100</f>
        <v>0</v>
      </c>
      <c r="M41" s="8">
        <f>I41+K41</f>
        <v>0</v>
      </c>
      <c r="N41" s="12">
        <f>M41/G41*100</f>
        <v>0</v>
      </c>
      <c r="O41" s="13"/>
      <c r="P41" s="8">
        <f>G41-M41</f>
        <v>436053900</v>
      </c>
    </row>
    <row r="42" spans="1:16" s="3" customFormat="1" ht="22.5" customHeight="1">
      <c r="A42" s="14">
        <v>2</v>
      </c>
      <c r="B42" s="14">
        <v>8</v>
      </c>
      <c r="C42" s="14">
        <v>1</v>
      </c>
      <c r="D42" s="15" t="s">
        <v>116</v>
      </c>
      <c r="E42" s="14">
        <v>2</v>
      </c>
      <c r="F42" s="166" t="s">
        <v>143</v>
      </c>
      <c r="G42" s="17">
        <v>300000000</v>
      </c>
      <c r="H42" s="18">
        <f t="shared" ref="H42:H53" si="9">+G42/$G$119*100%</f>
        <v>2.0119782805013121E-2</v>
      </c>
      <c r="I42" s="21">
        <f>Maret!M42</f>
        <v>0</v>
      </c>
      <c r="J42" s="190">
        <f>Maret!N42</f>
        <v>0</v>
      </c>
      <c r="K42" s="164"/>
      <c r="L42" s="29"/>
      <c r="M42" s="30"/>
      <c r="N42" s="29"/>
      <c r="O42" s="165"/>
      <c r="P42" s="21">
        <f>G42-M42</f>
        <v>300000000</v>
      </c>
    </row>
    <row r="43" spans="1:16" s="3" customFormat="1" ht="22.5" customHeight="1">
      <c r="A43" s="14">
        <v>2</v>
      </c>
      <c r="B43" s="14">
        <v>8</v>
      </c>
      <c r="C43" s="14">
        <v>1</v>
      </c>
      <c r="D43" s="15" t="s">
        <v>116</v>
      </c>
      <c r="E43" s="14">
        <v>5</v>
      </c>
      <c r="F43" s="166" t="s">
        <v>144</v>
      </c>
      <c r="G43" s="17">
        <v>46109900</v>
      </c>
      <c r="H43" s="18">
        <f t="shared" si="9"/>
        <v>3.0924039105362485E-3</v>
      </c>
      <c r="I43" s="21">
        <f>Maret!M43</f>
        <v>0</v>
      </c>
      <c r="J43" s="190">
        <f>Maret!N43</f>
        <v>0</v>
      </c>
      <c r="K43" s="164"/>
      <c r="L43" s="29"/>
      <c r="M43" s="30"/>
      <c r="N43" s="29"/>
      <c r="O43" s="165"/>
      <c r="P43" s="21">
        <f t="shared" ref="P43:P44" si="10">G43-M43</f>
        <v>46109900</v>
      </c>
    </row>
    <row r="44" spans="1:16" s="3" customFormat="1" ht="22.5" customHeight="1">
      <c r="A44" s="14">
        <v>2</v>
      </c>
      <c r="B44" s="14">
        <v>8</v>
      </c>
      <c r="C44" s="14">
        <v>1</v>
      </c>
      <c r="D44" s="15" t="s">
        <v>116</v>
      </c>
      <c r="E44" s="14">
        <v>6</v>
      </c>
      <c r="F44" s="166" t="s">
        <v>119</v>
      </c>
      <c r="G44" s="17">
        <v>89944000</v>
      </c>
      <c r="H44" s="18">
        <f t="shared" si="9"/>
        <v>6.0321791487136667E-3</v>
      </c>
      <c r="I44" s="21">
        <f>Maret!M44</f>
        <v>0</v>
      </c>
      <c r="J44" s="190">
        <f>Maret!N44</f>
        <v>0</v>
      </c>
      <c r="K44" s="21"/>
      <c r="L44" s="20"/>
      <c r="M44" s="30"/>
      <c r="N44" s="29"/>
      <c r="O44" s="22"/>
      <c r="P44" s="21">
        <f t="shared" si="10"/>
        <v>89944000</v>
      </c>
    </row>
    <row r="45" spans="1:16" s="106" customFormat="1" ht="22.5" customHeight="1">
      <c r="A45" s="5">
        <v>2</v>
      </c>
      <c r="B45" s="5">
        <v>8</v>
      </c>
      <c r="C45" s="5">
        <v>1</v>
      </c>
      <c r="D45" s="6" t="s">
        <v>23</v>
      </c>
      <c r="E45" s="5"/>
      <c r="F45" s="7" t="s">
        <v>3</v>
      </c>
      <c r="G45" s="45">
        <f>SUM(G46:G49)</f>
        <v>510041077</v>
      </c>
      <c r="H45" s="9">
        <f t="shared" si="9"/>
        <v>3.4206385636249913E-2</v>
      </c>
      <c r="I45" s="8">
        <f>Maret!M45</f>
        <v>78405000</v>
      </c>
      <c r="J45" s="11">
        <f>Maret!N45</f>
        <v>15.372291279198283</v>
      </c>
      <c r="K45" s="45">
        <f>SUM(K46:K49)</f>
        <v>53769433</v>
      </c>
      <c r="L45" s="12">
        <f t="shared" ref="L45:L53" si="11">K45/G45*100</f>
        <v>10.542176978424035</v>
      </c>
      <c r="M45" s="8">
        <f t="shared" ref="M45:M53" si="12">I45+K45</f>
        <v>132174433</v>
      </c>
      <c r="N45" s="12">
        <f t="shared" ref="N45:N53" si="13">M45/G45*100</f>
        <v>25.914468257622321</v>
      </c>
      <c r="O45" s="13"/>
      <c r="P45" s="8">
        <f t="shared" ref="P45:P53" si="14">G45-M45</f>
        <v>377866644</v>
      </c>
    </row>
    <row r="46" spans="1:16" s="3" customFormat="1" ht="22.5" customHeight="1">
      <c r="A46" s="14">
        <v>2</v>
      </c>
      <c r="B46" s="14">
        <v>8</v>
      </c>
      <c r="C46" s="14">
        <v>1</v>
      </c>
      <c r="D46" s="15" t="s">
        <v>23</v>
      </c>
      <c r="E46" s="14">
        <v>1</v>
      </c>
      <c r="F46" s="16" t="s">
        <v>65</v>
      </c>
      <c r="G46" s="17">
        <v>1749600</v>
      </c>
      <c r="H46" s="18">
        <f t="shared" si="9"/>
        <v>1.1733857331883652E-4</v>
      </c>
      <c r="I46" s="21">
        <f>Maret!M46</f>
        <v>0</v>
      </c>
      <c r="J46" s="190">
        <f>Maret!N46</f>
        <v>0</v>
      </c>
      <c r="K46" s="21">
        <v>0</v>
      </c>
      <c r="L46" s="20">
        <f t="shared" si="11"/>
        <v>0</v>
      </c>
      <c r="M46" s="30">
        <f t="shared" si="12"/>
        <v>0</v>
      </c>
      <c r="N46" s="29">
        <f t="shared" si="13"/>
        <v>0</v>
      </c>
      <c r="O46" s="22"/>
      <c r="P46" s="21">
        <f t="shared" si="14"/>
        <v>1749600</v>
      </c>
    </row>
    <row r="47" spans="1:16" s="3" customFormat="1" ht="22.5" customHeight="1">
      <c r="A47" s="14">
        <v>2</v>
      </c>
      <c r="B47" s="14">
        <v>8</v>
      </c>
      <c r="C47" s="14">
        <v>1</v>
      </c>
      <c r="D47" s="15" t="s">
        <v>23</v>
      </c>
      <c r="E47" s="14">
        <v>2</v>
      </c>
      <c r="F47" s="16" t="s">
        <v>66</v>
      </c>
      <c r="G47" s="17">
        <v>114691477</v>
      </c>
      <c r="H47" s="18">
        <f t="shared" si="9"/>
        <v>7.6918920227538592E-3</v>
      </c>
      <c r="I47" s="21">
        <f>Maret!M47</f>
        <v>0</v>
      </c>
      <c r="J47" s="190">
        <f>Maret!N47</f>
        <v>0</v>
      </c>
      <c r="K47" s="21">
        <f>530250+1801200+6500706+530250+1801200+5493054+530250+1801200+4847430+530250+1801200+4080943</f>
        <v>30247933</v>
      </c>
      <c r="L47" s="20">
        <f t="shared" si="11"/>
        <v>26.373304966680305</v>
      </c>
      <c r="M47" s="21">
        <f t="shared" si="12"/>
        <v>30247933</v>
      </c>
      <c r="N47" s="20">
        <f t="shared" si="13"/>
        <v>26.373304966680305</v>
      </c>
      <c r="O47" s="22"/>
      <c r="P47" s="21">
        <f t="shared" si="14"/>
        <v>84443544</v>
      </c>
    </row>
    <row r="48" spans="1:16" s="3" customFormat="1" ht="22.5" customHeight="1">
      <c r="A48" s="14">
        <v>2</v>
      </c>
      <c r="B48" s="14">
        <v>8</v>
      </c>
      <c r="C48" s="14">
        <v>1</v>
      </c>
      <c r="D48" s="15" t="s">
        <v>23</v>
      </c>
      <c r="E48" s="14">
        <v>3</v>
      </c>
      <c r="F48" s="16" t="s">
        <v>67</v>
      </c>
      <c r="G48" s="17">
        <v>36800000</v>
      </c>
      <c r="H48" s="18">
        <f t="shared" si="9"/>
        <v>2.4680266907482762E-3</v>
      </c>
      <c r="I48" s="21">
        <f>Maret!M48</f>
        <v>0</v>
      </c>
      <c r="J48" s="190">
        <f>Maret!N48</f>
        <v>0</v>
      </c>
      <c r="K48" s="21">
        <v>0</v>
      </c>
      <c r="L48" s="20">
        <f t="shared" si="11"/>
        <v>0</v>
      </c>
      <c r="M48" s="30">
        <f t="shared" si="12"/>
        <v>0</v>
      </c>
      <c r="N48" s="29">
        <f t="shared" si="13"/>
        <v>0</v>
      </c>
      <c r="O48" s="22"/>
      <c r="P48" s="21">
        <f t="shared" si="14"/>
        <v>36800000</v>
      </c>
    </row>
    <row r="49" spans="1:16" s="3" customFormat="1" ht="22.5" customHeight="1">
      <c r="A49" s="14">
        <v>2</v>
      </c>
      <c r="B49" s="14">
        <v>8</v>
      </c>
      <c r="C49" s="14">
        <v>1</v>
      </c>
      <c r="D49" s="15" t="s">
        <v>23</v>
      </c>
      <c r="E49" s="14">
        <v>4</v>
      </c>
      <c r="F49" s="16" t="s">
        <v>68</v>
      </c>
      <c r="G49" s="17">
        <v>356800000</v>
      </c>
      <c r="H49" s="18">
        <f t="shared" si="9"/>
        <v>2.3929128349428938E-2</v>
      </c>
      <c r="I49" s="21">
        <f>Maret!M49</f>
        <v>78405000</v>
      </c>
      <c r="J49" s="190">
        <f>Maret!N49</f>
        <v>21.974495515695068</v>
      </c>
      <c r="K49" s="24">
        <f>23400000+121500</f>
        <v>23521500</v>
      </c>
      <c r="L49" s="20">
        <f t="shared" si="11"/>
        <v>6.5923486547085197</v>
      </c>
      <c r="M49" s="21">
        <f t="shared" si="12"/>
        <v>101926500</v>
      </c>
      <c r="N49" s="20">
        <f t="shared" si="13"/>
        <v>28.566844170403588</v>
      </c>
      <c r="O49" s="22"/>
      <c r="P49" s="21">
        <f t="shared" si="14"/>
        <v>254873500</v>
      </c>
    </row>
    <row r="50" spans="1:16" s="106" customFormat="1" ht="22.5" customHeight="1">
      <c r="A50" s="5">
        <v>2</v>
      </c>
      <c r="B50" s="5">
        <v>8</v>
      </c>
      <c r="C50" s="5">
        <v>1</v>
      </c>
      <c r="D50" s="6" t="s">
        <v>22</v>
      </c>
      <c r="E50" s="5"/>
      <c r="F50" s="7" t="s">
        <v>21</v>
      </c>
      <c r="G50" s="26">
        <f>SUM(G51:G53)</f>
        <v>316034000</v>
      </c>
      <c r="H50" s="9">
        <f t="shared" si="9"/>
        <v>2.1195118129998389E-2</v>
      </c>
      <c r="I50" s="8">
        <f>Maret!M50</f>
        <v>0</v>
      </c>
      <c r="J50" s="11">
        <f>Maret!N50</f>
        <v>0</v>
      </c>
      <c r="K50" s="26">
        <f>SUM(K51:K53)</f>
        <v>11020000</v>
      </c>
      <c r="L50" s="12">
        <f t="shared" si="11"/>
        <v>3.4869665922021049</v>
      </c>
      <c r="M50" s="8">
        <f t="shared" si="12"/>
        <v>11020000</v>
      </c>
      <c r="N50" s="12">
        <f t="shared" si="13"/>
        <v>3.4869665922021049</v>
      </c>
      <c r="O50" s="13"/>
      <c r="P50" s="8">
        <f t="shared" si="14"/>
        <v>305014000</v>
      </c>
    </row>
    <row r="51" spans="1:16" s="3" customFormat="1" ht="31.5" customHeight="1">
      <c r="A51" s="14">
        <v>2</v>
      </c>
      <c r="B51" s="14">
        <v>8</v>
      </c>
      <c r="C51" s="14">
        <v>1</v>
      </c>
      <c r="D51" s="15" t="s">
        <v>22</v>
      </c>
      <c r="E51" s="14">
        <v>1</v>
      </c>
      <c r="F51" s="16" t="s">
        <v>69</v>
      </c>
      <c r="G51" s="25">
        <v>205390000</v>
      </c>
      <c r="H51" s="18">
        <f t="shared" si="9"/>
        <v>1.3774673967738816E-2</v>
      </c>
      <c r="I51" s="21">
        <f>Maret!M51</f>
        <v>0</v>
      </c>
      <c r="J51" s="190">
        <f>Maret!N51</f>
        <v>0</v>
      </c>
      <c r="K51" s="21">
        <f>3350000+1290000+2580000+300000+3500000</f>
        <v>11020000</v>
      </c>
      <c r="L51" s="20">
        <f t="shared" si="11"/>
        <v>5.3654024051803884</v>
      </c>
      <c r="M51" s="21">
        <f t="shared" si="12"/>
        <v>11020000</v>
      </c>
      <c r="N51" s="20">
        <f t="shared" si="13"/>
        <v>5.3654024051803884</v>
      </c>
      <c r="O51" s="22"/>
      <c r="P51" s="21">
        <f t="shared" si="14"/>
        <v>194370000</v>
      </c>
    </row>
    <row r="52" spans="1:16" s="3" customFormat="1" ht="22.5" customHeight="1">
      <c r="A52" s="14">
        <v>2</v>
      </c>
      <c r="B52" s="14">
        <v>8</v>
      </c>
      <c r="C52" s="14">
        <v>1</v>
      </c>
      <c r="D52" s="15" t="s">
        <v>22</v>
      </c>
      <c r="E52" s="14">
        <v>6</v>
      </c>
      <c r="F52" s="16" t="s">
        <v>70</v>
      </c>
      <c r="G52" s="25">
        <v>23440000</v>
      </c>
      <c r="H52" s="18">
        <f t="shared" si="9"/>
        <v>1.5720256964983585E-3</v>
      </c>
      <c r="I52" s="21">
        <f>Maret!M52</f>
        <v>0</v>
      </c>
      <c r="J52" s="190">
        <f>Maret!N52</f>
        <v>0</v>
      </c>
      <c r="K52" s="21">
        <v>0</v>
      </c>
      <c r="L52" s="20">
        <f t="shared" si="11"/>
        <v>0</v>
      </c>
      <c r="M52" s="30">
        <f t="shared" si="12"/>
        <v>0</v>
      </c>
      <c r="N52" s="29">
        <f t="shared" si="13"/>
        <v>0</v>
      </c>
      <c r="O52" s="22"/>
      <c r="P52" s="21">
        <f t="shared" si="14"/>
        <v>23440000</v>
      </c>
    </row>
    <row r="53" spans="1:16" s="3" customFormat="1" ht="22.5" customHeight="1">
      <c r="A53" s="14">
        <v>2</v>
      </c>
      <c r="B53" s="14">
        <v>8</v>
      </c>
      <c r="C53" s="14">
        <v>1</v>
      </c>
      <c r="D53" s="15" t="s">
        <v>22</v>
      </c>
      <c r="E53" s="14">
        <v>9</v>
      </c>
      <c r="F53" s="16" t="s">
        <v>88</v>
      </c>
      <c r="G53" s="25">
        <v>87204000</v>
      </c>
      <c r="H53" s="18">
        <f t="shared" si="9"/>
        <v>5.8484184657612136E-3</v>
      </c>
      <c r="I53" s="21">
        <f>Maret!M53</f>
        <v>0</v>
      </c>
      <c r="J53" s="190">
        <f>Maret!N53</f>
        <v>0</v>
      </c>
      <c r="K53" s="21">
        <v>0</v>
      </c>
      <c r="L53" s="20">
        <f t="shared" si="11"/>
        <v>0</v>
      </c>
      <c r="M53" s="30">
        <f t="shared" si="12"/>
        <v>0</v>
      </c>
      <c r="N53" s="29">
        <f t="shared" si="13"/>
        <v>0</v>
      </c>
      <c r="O53" s="22"/>
      <c r="P53" s="21">
        <f t="shared" si="14"/>
        <v>87204000</v>
      </c>
    </row>
    <row r="54" spans="1:16" s="146" customFormat="1" ht="31.5" customHeight="1">
      <c r="A54" s="130"/>
      <c r="B54" s="130"/>
      <c r="C54" s="130"/>
      <c r="D54" s="131"/>
      <c r="E54" s="130"/>
      <c r="F54" s="140" t="s">
        <v>108</v>
      </c>
      <c r="G54" s="144">
        <f>G55+G67+G72</f>
        <v>637720000</v>
      </c>
      <c r="H54" s="132"/>
      <c r="I54" s="138">
        <f>Maret!M54</f>
        <v>0</v>
      </c>
      <c r="J54" s="134">
        <f>Maret!N54</f>
        <v>0</v>
      </c>
      <c r="K54" s="136"/>
      <c r="L54" s="135"/>
      <c r="M54" s="138"/>
      <c r="N54" s="139"/>
      <c r="O54" s="143"/>
      <c r="P54" s="136"/>
    </row>
    <row r="55" spans="1:16" s="49" customFormat="1" ht="22.5" customHeight="1">
      <c r="A55" s="36">
        <v>2</v>
      </c>
      <c r="B55" s="36">
        <v>8</v>
      </c>
      <c r="C55" s="36">
        <v>2</v>
      </c>
      <c r="D55" s="37"/>
      <c r="E55" s="36"/>
      <c r="F55" s="38" t="s">
        <v>20</v>
      </c>
      <c r="G55" s="46">
        <f>G56+G58</f>
        <v>328000000</v>
      </c>
      <c r="H55" s="40">
        <f>+G55/$G$119*100%</f>
        <v>2.1997629200147677E-2</v>
      </c>
      <c r="I55" s="39">
        <f>Maret!M55</f>
        <v>0</v>
      </c>
      <c r="J55" s="42">
        <f>Maret!N55</f>
        <v>0</v>
      </c>
      <c r="K55" s="46">
        <f>K56</f>
        <v>0</v>
      </c>
      <c r="L55" s="43">
        <f>K55/G55*100</f>
        <v>0</v>
      </c>
      <c r="M55" s="39">
        <f>I55+K55</f>
        <v>0</v>
      </c>
      <c r="N55" s="43">
        <f>M55/G55*100</f>
        <v>0</v>
      </c>
      <c r="O55" s="44"/>
      <c r="P55" s="39">
        <f>G55-M55</f>
        <v>328000000</v>
      </c>
    </row>
    <row r="56" spans="1:16" s="106" customFormat="1" ht="31.5" customHeight="1">
      <c r="A56" s="5">
        <v>2</v>
      </c>
      <c r="B56" s="5">
        <v>8</v>
      </c>
      <c r="C56" s="5">
        <v>2</v>
      </c>
      <c r="D56" s="6" t="s">
        <v>8</v>
      </c>
      <c r="E56" s="5"/>
      <c r="F56" s="7" t="s">
        <v>19</v>
      </c>
      <c r="G56" s="45">
        <f>SUM(G57:G57)</f>
        <v>133000000</v>
      </c>
      <c r="H56" s="9">
        <f>+G56/$G$119*100%</f>
        <v>8.9197703768891506E-3</v>
      </c>
      <c r="I56" s="8">
        <f>Maret!M56</f>
        <v>0</v>
      </c>
      <c r="J56" s="11">
        <f>Maret!N56</f>
        <v>0</v>
      </c>
      <c r="K56" s="45">
        <f>SUM(K57:K57)</f>
        <v>0</v>
      </c>
      <c r="L56" s="12">
        <f>K56/G56*100</f>
        <v>0</v>
      </c>
      <c r="M56" s="8">
        <f>I56+K56</f>
        <v>0</v>
      </c>
      <c r="N56" s="12">
        <f>M56/G56*100</f>
        <v>0</v>
      </c>
      <c r="O56" s="13"/>
      <c r="P56" s="8">
        <f>G56-M56</f>
        <v>133000000</v>
      </c>
    </row>
    <row r="57" spans="1:16" s="3" customFormat="1" ht="30" customHeight="1">
      <c r="A57" s="14">
        <v>2</v>
      </c>
      <c r="B57" s="14">
        <v>8</v>
      </c>
      <c r="C57" s="14">
        <v>2</v>
      </c>
      <c r="D57" s="15" t="s">
        <v>8</v>
      </c>
      <c r="E57" s="14">
        <v>7</v>
      </c>
      <c r="F57" s="166" t="s">
        <v>145</v>
      </c>
      <c r="G57" s="17">
        <v>133000000</v>
      </c>
      <c r="H57" s="18">
        <f>+G57/$G$119*100%</f>
        <v>8.9197703768891506E-3</v>
      </c>
      <c r="I57" s="21">
        <f>Maret!M57</f>
        <v>0</v>
      </c>
      <c r="J57" s="190">
        <f>Maret!N57</f>
        <v>0</v>
      </c>
      <c r="K57" s="21">
        <v>0</v>
      </c>
      <c r="L57" s="20">
        <f>K57/G57*100</f>
        <v>0</v>
      </c>
      <c r="M57" s="30">
        <f>I57+K57</f>
        <v>0</v>
      </c>
      <c r="N57" s="29">
        <f>M57/G57*100</f>
        <v>0</v>
      </c>
      <c r="O57" s="22"/>
      <c r="P57" s="21">
        <f>G57-M57</f>
        <v>133000000</v>
      </c>
    </row>
    <row r="58" spans="1:16" s="3" customFormat="1" ht="36" customHeight="1">
      <c r="A58" s="5">
        <v>2</v>
      </c>
      <c r="B58" s="5">
        <v>8</v>
      </c>
      <c r="C58" s="5">
        <v>2</v>
      </c>
      <c r="D58" s="6" t="s">
        <v>7</v>
      </c>
      <c r="E58" s="5"/>
      <c r="F58" s="7" t="s">
        <v>146</v>
      </c>
      <c r="G58" s="45">
        <f>SUM(G59:G59)</f>
        <v>195000000</v>
      </c>
      <c r="H58" s="9">
        <f>+G58/$G$119*100%</f>
        <v>1.3077858823258529E-2</v>
      </c>
      <c r="I58" s="8">
        <f>Maret!M58</f>
        <v>0</v>
      </c>
      <c r="J58" s="11">
        <f>Maret!N58</f>
        <v>0</v>
      </c>
      <c r="K58" s="45">
        <f>SUM(K59:K59)</f>
        <v>0</v>
      </c>
      <c r="L58" s="12">
        <f>K58/G58*100</f>
        <v>0</v>
      </c>
      <c r="M58" s="8">
        <f>I58+K58</f>
        <v>0</v>
      </c>
      <c r="N58" s="12">
        <f>M58/G58*100</f>
        <v>0</v>
      </c>
      <c r="O58" s="13"/>
      <c r="P58" s="8">
        <f>G58-M58</f>
        <v>195000000</v>
      </c>
    </row>
    <row r="59" spans="1:16" s="3" customFormat="1" ht="34.5" customHeight="1">
      <c r="A59" s="14">
        <v>2</v>
      </c>
      <c r="B59" s="14">
        <v>8</v>
      </c>
      <c r="C59" s="14">
        <v>2</v>
      </c>
      <c r="D59" s="15" t="s">
        <v>7</v>
      </c>
      <c r="E59" s="14">
        <v>2</v>
      </c>
      <c r="F59" s="166" t="s">
        <v>147</v>
      </c>
      <c r="G59" s="17">
        <v>195000000</v>
      </c>
      <c r="H59" s="18">
        <f>+G59/$G$119*100%</f>
        <v>1.3077858823258529E-2</v>
      </c>
      <c r="I59" s="21">
        <f>Maret!M59</f>
        <v>0</v>
      </c>
      <c r="J59" s="190">
        <f>Maret!N59</f>
        <v>0</v>
      </c>
      <c r="K59" s="21">
        <v>0</v>
      </c>
      <c r="L59" s="20">
        <f>K59/G59*100</f>
        <v>0</v>
      </c>
      <c r="M59" s="30">
        <f>I59+K59</f>
        <v>0</v>
      </c>
      <c r="N59" s="29">
        <f>M59/G59*100</f>
        <v>0</v>
      </c>
      <c r="O59" s="22"/>
      <c r="P59" s="21">
        <f>G59-M59</f>
        <v>195000000</v>
      </c>
    </row>
    <row r="60" spans="1:16" s="146" customFormat="1" ht="31.5" customHeight="1">
      <c r="A60" s="130"/>
      <c r="B60" s="130"/>
      <c r="C60" s="130"/>
      <c r="D60" s="131"/>
      <c r="E60" s="130"/>
      <c r="F60" s="140" t="s">
        <v>103</v>
      </c>
      <c r="G60" s="144">
        <f>G61</f>
        <v>389086600</v>
      </c>
      <c r="H60" s="132"/>
      <c r="I60" s="138">
        <f>Maret!M60</f>
        <v>0</v>
      </c>
      <c r="J60" s="134">
        <f>Maret!N60</f>
        <v>0</v>
      </c>
      <c r="K60" s="136"/>
      <c r="L60" s="135"/>
      <c r="M60" s="138"/>
      <c r="N60" s="139"/>
      <c r="O60" s="143"/>
      <c r="P60" s="136"/>
    </row>
    <row r="61" spans="1:16" s="49" customFormat="1" ht="22.5" customHeight="1">
      <c r="A61" s="36">
        <v>2</v>
      </c>
      <c r="B61" s="36">
        <v>8</v>
      </c>
      <c r="C61" s="36">
        <v>3</v>
      </c>
      <c r="D61" s="37"/>
      <c r="E61" s="36"/>
      <c r="F61" s="38" t="s">
        <v>2</v>
      </c>
      <c r="G61" s="47">
        <f>G62+G64</f>
        <v>389086600</v>
      </c>
      <c r="H61" s="40">
        <f t="shared" ref="H61:H74" si="15">+G61/$G$119*100%</f>
        <v>2.6094459614470062E-2</v>
      </c>
      <c r="I61" s="39">
        <f>Maret!M61</f>
        <v>0</v>
      </c>
      <c r="J61" s="42">
        <f>Maret!N61</f>
        <v>0</v>
      </c>
      <c r="K61" s="47">
        <f>K62+K64</f>
        <v>0</v>
      </c>
      <c r="L61" s="109">
        <f t="shared" ref="L61:L74" si="16">K61/G61*100</f>
        <v>0</v>
      </c>
      <c r="M61" s="39">
        <f t="shared" ref="M61:M74" si="17">I61+K61</f>
        <v>0</v>
      </c>
      <c r="N61" s="43">
        <f t="shared" ref="N61:N74" si="18">M61/G61*100</f>
        <v>0</v>
      </c>
      <c r="O61" s="44"/>
      <c r="P61" s="39">
        <f t="shared" ref="P61:P74" si="19">G61-M61</f>
        <v>389086600</v>
      </c>
    </row>
    <row r="62" spans="1:16" s="106" customFormat="1" ht="32.25" customHeight="1">
      <c r="A62" s="5">
        <v>2</v>
      </c>
      <c r="B62" s="5">
        <v>8</v>
      </c>
      <c r="C62" s="5">
        <v>3</v>
      </c>
      <c r="D62" s="6" t="s">
        <v>8</v>
      </c>
      <c r="E62" s="5"/>
      <c r="F62" s="7" t="s">
        <v>18</v>
      </c>
      <c r="G62" s="45">
        <f>G63</f>
        <v>183550000</v>
      </c>
      <c r="H62" s="9">
        <f t="shared" si="15"/>
        <v>1.2309953779533861E-2</v>
      </c>
      <c r="I62" s="8">
        <f>Maret!M62</f>
        <v>0</v>
      </c>
      <c r="J62" s="11">
        <f>Maret!N62</f>
        <v>0</v>
      </c>
      <c r="K62" s="45">
        <f>K63</f>
        <v>0</v>
      </c>
      <c r="L62" s="108">
        <f t="shared" si="16"/>
        <v>0</v>
      </c>
      <c r="M62" s="8">
        <f t="shared" si="17"/>
        <v>0</v>
      </c>
      <c r="N62" s="12">
        <f t="shared" si="18"/>
        <v>0</v>
      </c>
      <c r="O62" s="13"/>
      <c r="P62" s="8">
        <f t="shared" si="19"/>
        <v>183550000</v>
      </c>
    </row>
    <row r="63" spans="1:16" s="3" customFormat="1" ht="32.25" customHeight="1">
      <c r="A63" s="14">
        <v>2</v>
      </c>
      <c r="B63" s="14">
        <v>8</v>
      </c>
      <c r="C63" s="14">
        <v>3</v>
      </c>
      <c r="D63" s="15" t="s">
        <v>8</v>
      </c>
      <c r="E63" s="14">
        <v>1</v>
      </c>
      <c r="F63" s="16" t="s">
        <v>71</v>
      </c>
      <c r="G63" s="17">
        <v>183550000</v>
      </c>
      <c r="H63" s="18">
        <f t="shared" si="15"/>
        <v>1.2309953779533861E-2</v>
      </c>
      <c r="I63" s="21">
        <f>Maret!M63</f>
        <v>0</v>
      </c>
      <c r="J63" s="190">
        <f>Maret!N63</f>
        <v>0</v>
      </c>
      <c r="K63" s="21">
        <v>0</v>
      </c>
      <c r="L63" s="20">
        <f t="shared" si="16"/>
        <v>0</v>
      </c>
      <c r="M63" s="30">
        <f t="shared" si="17"/>
        <v>0</v>
      </c>
      <c r="N63" s="29">
        <f t="shared" si="18"/>
        <v>0</v>
      </c>
      <c r="O63" s="22"/>
      <c r="P63" s="21">
        <f t="shared" si="19"/>
        <v>183550000</v>
      </c>
    </row>
    <row r="64" spans="1:16" s="106" customFormat="1" ht="32.25" customHeight="1">
      <c r="A64" s="5">
        <v>2</v>
      </c>
      <c r="B64" s="5">
        <v>8</v>
      </c>
      <c r="C64" s="5">
        <v>3</v>
      </c>
      <c r="D64" s="6" t="s">
        <v>14</v>
      </c>
      <c r="E64" s="5"/>
      <c r="F64" s="7" t="s">
        <v>17</v>
      </c>
      <c r="G64" s="45">
        <f>G65+G66</f>
        <v>205536600</v>
      </c>
      <c r="H64" s="9">
        <f t="shared" si="15"/>
        <v>1.3784505834936199E-2</v>
      </c>
      <c r="I64" s="8">
        <f>Maret!M64</f>
        <v>0</v>
      </c>
      <c r="J64" s="11">
        <f>Maret!N64</f>
        <v>0</v>
      </c>
      <c r="K64" s="45">
        <f>K65+K66</f>
        <v>0</v>
      </c>
      <c r="L64" s="108">
        <f t="shared" si="16"/>
        <v>0</v>
      </c>
      <c r="M64" s="8">
        <f t="shared" si="17"/>
        <v>0</v>
      </c>
      <c r="N64" s="12">
        <f t="shared" si="18"/>
        <v>0</v>
      </c>
      <c r="O64" s="13"/>
      <c r="P64" s="8">
        <f t="shared" si="19"/>
        <v>205536600</v>
      </c>
    </row>
    <row r="65" spans="1:16" s="3" customFormat="1" ht="32.25" customHeight="1">
      <c r="A65" s="14">
        <v>2</v>
      </c>
      <c r="B65" s="14">
        <v>8</v>
      </c>
      <c r="C65" s="14">
        <v>3</v>
      </c>
      <c r="D65" s="15" t="s">
        <v>14</v>
      </c>
      <c r="E65" s="14">
        <v>2</v>
      </c>
      <c r="F65" s="16" t="s">
        <v>72</v>
      </c>
      <c r="G65" s="17">
        <v>138961600</v>
      </c>
      <c r="H65" s="18">
        <f t="shared" si="15"/>
        <v>9.319590700790371E-3</v>
      </c>
      <c r="I65" s="21">
        <f>Maret!M65</f>
        <v>0</v>
      </c>
      <c r="J65" s="190">
        <f>Maret!N65</f>
        <v>0</v>
      </c>
      <c r="K65" s="21">
        <v>0</v>
      </c>
      <c r="L65" s="20">
        <f t="shared" si="16"/>
        <v>0</v>
      </c>
      <c r="M65" s="30">
        <f t="shared" si="17"/>
        <v>0</v>
      </c>
      <c r="N65" s="29">
        <f t="shared" si="18"/>
        <v>0</v>
      </c>
      <c r="O65" s="22"/>
      <c r="P65" s="21">
        <f t="shared" si="19"/>
        <v>138961600</v>
      </c>
    </row>
    <row r="66" spans="1:16" s="3" customFormat="1" ht="32.25" customHeight="1">
      <c r="A66" s="14">
        <v>2</v>
      </c>
      <c r="B66" s="14">
        <v>8</v>
      </c>
      <c r="C66" s="14">
        <v>3</v>
      </c>
      <c r="D66" s="15" t="s">
        <v>14</v>
      </c>
      <c r="E66" s="14">
        <v>3</v>
      </c>
      <c r="F66" s="16" t="s">
        <v>73</v>
      </c>
      <c r="G66" s="17">
        <v>66575000</v>
      </c>
      <c r="H66" s="18">
        <f t="shared" si="15"/>
        <v>4.464915134145828E-3</v>
      </c>
      <c r="I66" s="21">
        <f>Maret!M66</f>
        <v>0</v>
      </c>
      <c r="J66" s="190">
        <f>Maret!N66</f>
        <v>0</v>
      </c>
      <c r="K66" s="21">
        <v>0</v>
      </c>
      <c r="L66" s="20">
        <f t="shared" si="16"/>
        <v>0</v>
      </c>
      <c r="M66" s="30">
        <f t="shared" si="17"/>
        <v>0</v>
      </c>
      <c r="N66" s="29">
        <f t="shared" si="18"/>
        <v>0</v>
      </c>
      <c r="O66" s="22"/>
      <c r="P66" s="21">
        <f t="shared" si="19"/>
        <v>66575000</v>
      </c>
    </row>
    <row r="67" spans="1:16" s="49" customFormat="1" ht="26.25" customHeight="1">
      <c r="A67" s="36">
        <v>2</v>
      </c>
      <c r="B67" s="36">
        <v>8</v>
      </c>
      <c r="C67" s="36">
        <v>4</v>
      </c>
      <c r="D67" s="37"/>
      <c r="E67" s="36"/>
      <c r="F67" s="38" t="s">
        <v>111</v>
      </c>
      <c r="G67" s="46">
        <f>G68+G70</f>
        <v>284720000</v>
      </c>
      <c r="H67" s="40">
        <f t="shared" si="15"/>
        <v>1.9095015200811118E-2</v>
      </c>
      <c r="I67" s="39">
        <f>Maret!M67</f>
        <v>0</v>
      </c>
      <c r="J67" s="42">
        <f>Maret!N67</f>
        <v>0</v>
      </c>
      <c r="K67" s="46">
        <f>+K68</f>
        <v>0</v>
      </c>
      <c r="L67" s="109">
        <f t="shared" si="16"/>
        <v>0</v>
      </c>
      <c r="M67" s="39">
        <f t="shared" si="17"/>
        <v>0</v>
      </c>
      <c r="N67" s="43">
        <f t="shared" si="18"/>
        <v>0</v>
      </c>
      <c r="O67" s="48"/>
      <c r="P67" s="39">
        <f t="shared" si="19"/>
        <v>284720000</v>
      </c>
    </row>
    <row r="68" spans="1:16" s="106" customFormat="1" ht="35.25" customHeight="1">
      <c r="A68" s="5">
        <v>2</v>
      </c>
      <c r="B68" s="5">
        <v>8</v>
      </c>
      <c r="C68" s="5">
        <v>4</v>
      </c>
      <c r="D68" s="6" t="s">
        <v>8</v>
      </c>
      <c r="E68" s="5"/>
      <c r="F68" s="167" t="s">
        <v>121</v>
      </c>
      <c r="G68" s="45">
        <f>G69</f>
        <v>234720000</v>
      </c>
      <c r="H68" s="9">
        <f t="shared" si="15"/>
        <v>1.5741718066642266E-2</v>
      </c>
      <c r="I68" s="8">
        <f>Maret!M68</f>
        <v>0</v>
      </c>
      <c r="J68" s="11">
        <f>Maret!N68</f>
        <v>0</v>
      </c>
      <c r="K68" s="45">
        <f>K69+K74</f>
        <v>0</v>
      </c>
      <c r="L68" s="108">
        <f t="shared" si="16"/>
        <v>0</v>
      </c>
      <c r="M68" s="8">
        <f t="shared" si="17"/>
        <v>0</v>
      </c>
      <c r="N68" s="12">
        <f t="shared" si="18"/>
        <v>0</v>
      </c>
      <c r="O68" s="13"/>
      <c r="P68" s="8">
        <f t="shared" si="19"/>
        <v>234720000</v>
      </c>
    </row>
    <row r="69" spans="1:16" s="3" customFormat="1" ht="34.5" customHeight="1">
      <c r="A69" s="14">
        <v>2</v>
      </c>
      <c r="B69" s="14">
        <v>8</v>
      </c>
      <c r="C69" s="14">
        <v>4</v>
      </c>
      <c r="D69" s="15" t="s">
        <v>8</v>
      </c>
      <c r="E69" s="14">
        <v>3</v>
      </c>
      <c r="F69" s="166" t="s">
        <v>148</v>
      </c>
      <c r="G69" s="17">
        <v>234720000</v>
      </c>
      <c r="H69" s="18">
        <f t="shared" si="15"/>
        <v>1.5741718066642266E-2</v>
      </c>
      <c r="I69" s="21">
        <f>Maret!M69</f>
        <v>0</v>
      </c>
      <c r="J69" s="190">
        <f>Maret!N69</f>
        <v>0</v>
      </c>
      <c r="K69" s="21">
        <v>0</v>
      </c>
      <c r="L69" s="20">
        <f t="shared" si="16"/>
        <v>0</v>
      </c>
      <c r="M69" s="30">
        <f t="shared" si="17"/>
        <v>0</v>
      </c>
      <c r="N69" s="29">
        <f t="shared" si="18"/>
        <v>0</v>
      </c>
      <c r="O69" s="22"/>
      <c r="P69" s="21">
        <f t="shared" si="19"/>
        <v>234720000</v>
      </c>
    </row>
    <row r="70" spans="1:16" s="3" customFormat="1" ht="36" customHeight="1">
      <c r="A70" s="5">
        <v>2</v>
      </c>
      <c r="B70" s="5">
        <v>8</v>
      </c>
      <c r="C70" s="5">
        <v>4</v>
      </c>
      <c r="D70" s="6" t="s">
        <v>7</v>
      </c>
      <c r="E70" s="5"/>
      <c r="F70" s="167" t="s">
        <v>149</v>
      </c>
      <c r="G70" s="45">
        <f>G71</f>
        <v>50000000</v>
      </c>
      <c r="H70" s="9">
        <f t="shared" si="15"/>
        <v>3.3532971341688534E-3</v>
      </c>
      <c r="I70" s="8">
        <f>Maret!M70</f>
        <v>0</v>
      </c>
      <c r="J70" s="11">
        <f>Maret!N70</f>
        <v>0</v>
      </c>
      <c r="K70" s="45">
        <f>K71+K76</f>
        <v>0</v>
      </c>
      <c r="L70" s="108">
        <f t="shared" si="16"/>
        <v>0</v>
      </c>
      <c r="M70" s="8">
        <f t="shared" si="17"/>
        <v>0</v>
      </c>
      <c r="N70" s="12">
        <f t="shared" si="18"/>
        <v>0</v>
      </c>
      <c r="O70" s="13"/>
      <c r="P70" s="8">
        <f t="shared" si="19"/>
        <v>50000000</v>
      </c>
    </row>
    <row r="71" spans="1:16" s="3" customFormat="1" ht="32.25" customHeight="1">
      <c r="A71" s="14">
        <v>2</v>
      </c>
      <c r="B71" s="14">
        <v>8</v>
      </c>
      <c r="C71" s="14">
        <v>4</v>
      </c>
      <c r="D71" s="15" t="s">
        <v>7</v>
      </c>
      <c r="E71" s="14">
        <v>2</v>
      </c>
      <c r="F71" s="166" t="s">
        <v>150</v>
      </c>
      <c r="G71" s="17">
        <v>50000000</v>
      </c>
      <c r="H71" s="18">
        <f t="shared" si="15"/>
        <v>3.3532971341688534E-3</v>
      </c>
      <c r="I71" s="21">
        <f>Maret!M71</f>
        <v>0</v>
      </c>
      <c r="J71" s="190">
        <f>Maret!N71</f>
        <v>0</v>
      </c>
      <c r="K71" s="21">
        <v>0</v>
      </c>
      <c r="L71" s="20">
        <f t="shared" si="16"/>
        <v>0</v>
      </c>
      <c r="M71" s="30">
        <f t="shared" si="17"/>
        <v>0</v>
      </c>
      <c r="N71" s="29">
        <f t="shared" si="18"/>
        <v>0</v>
      </c>
      <c r="O71" s="22"/>
      <c r="P71" s="21">
        <f t="shared" si="19"/>
        <v>50000000</v>
      </c>
    </row>
    <row r="72" spans="1:16" s="3" customFormat="1" ht="32.25" customHeight="1">
      <c r="A72" s="36">
        <v>2</v>
      </c>
      <c r="B72" s="36">
        <v>8</v>
      </c>
      <c r="C72" s="36">
        <v>5</v>
      </c>
      <c r="D72" s="37"/>
      <c r="E72" s="36"/>
      <c r="F72" s="38" t="s">
        <v>151</v>
      </c>
      <c r="G72" s="46">
        <f>G73</f>
        <v>25000000</v>
      </c>
      <c r="H72" s="40">
        <f t="shared" si="15"/>
        <v>1.6766485670844267E-3</v>
      </c>
      <c r="I72" s="39">
        <f>Maret!M72</f>
        <v>0</v>
      </c>
      <c r="J72" s="42">
        <f>Maret!N72</f>
        <v>0</v>
      </c>
      <c r="K72" s="46">
        <f>+K73</f>
        <v>0</v>
      </c>
      <c r="L72" s="109">
        <f t="shared" si="16"/>
        <v>0</v>
      </c>
      <c r="M72" s="39">
        <f t="shared" si="17"/>
        <v>0</v>
      </c>
      <c r="N72" s="43">
        <f t="shared" si="18"/>
        <v>0</v>
      </c>
      <c r="O72" s="48"/>
      <c r="P72" s="39">
        <f t="shared" si="19"/>
        <v>25000000</v>
      </c>
    </row>
    <row r="73" spans="1:16" s="3" customFormat="1" ht="32.25" customHeight="1">
      <c r="A73" s="5">
        <v>2</v>
      </c>
      <c r="B73" s="5">
        <v>8</v>
      </c>
      <c r="C73" s="5">
        <v>5</v>
      </c>
      <c r="D73" s="6" t="s">
        <v>8</v>
      </c>
      <c r="E73" s="5"/>
      <c r="F73" s="167" t="s">
        <v>152</v>
      </c>
      <c r="G73" s="45">
        <f>G74</f>
        <v>25000000</v>
      </c>
      <c r="H73" s="9">
        <f t="shared" si="15"/>
        <v>1.6766485670844267E-3</v>
      </c>
      <c r="I73" s="8">
        <f>Maret!M73</f>
        <v>0</v>
      </c>
      <c r="J73" s="11">
        <f>Maret!N73</f>
        <v>0</v>
      </c>
      <c r="K73" s="45">
        <f>K74+K79</f>
        <v>0</v>
      </c>
      <c r="L73" s="108">
        <f t="shared" si="16"/>
        <v>0</v>
      </c>
      <c r="M73" s="8">
        <f t="shared" si="17"/>
        <v>0</v>
      </c>
      <c r="N73" s="12">
        <f t="shared" si="18"/>
        <v>0</v>
      </c>
      <c r="O73" s="13"/>
      <c r="P73" s="8">
        <f t="shared" si="19"/>
        <v>25000000</v>
      </c>
    </row>
    <row r="74" spans="1:16" s="3" customFormat="1" ht="30.75" customHeight="1">
      <c r="A74" s="14">
        <v>2</v>
      </c>
      <c r="B74" s="14">
        <v>8</v>
      </c>
      <c r="C74" s="14">
        <v>5</v>
      </c>
      <c r="D74" s="15" t="s">
        <v>8</v>
      </c>
      <c r="E74" s="14">
        <v>3</v>
      </c>
      <c r="F74" s="166" t="s">
        <v>153</v>
      </c>
      <c r="G74" s="17">
        <v>25000000</v>
      </c>
      <c r="H74" s="18">
        <f t="shared" si="15"/>
        <v>1.6766485670844267E-3</v>
      </c>
      <c r="I74" s="21">
        <f>Maret!M74</f>
        <v>0</v>
      </c>
      <c r="J74" s="190">
        <f>Maret!N74</f>
        <v>0</v>
      </c>
      <c r="K74" s="21">
        <v>0</v>
      </c>
      <c r="L74" s="20">
        <f t="shared" si="16"/>
        <v>0</v>
      </c>
      <c r="M74" s="30">
        <f t="shared" si="17"/>
        <v>0</v>
      </c>
      <c r="N74" s="29">
        <f t="shared" si="18"/>
        <v>0</v>
      </c>
      <c r="O74" s="22"/>
      <c r="P74" s="21">
        <f t="shared" si="19"/>
        <v>25000000</v>
      </c>
    </row>
    <row r="75" spans="1:16" s="146" customFormat="1" ht="30" customHeight="1">
      <c r="A75" s="130"/>
      <c r="B75" s="130"/>
      <c r="C75" s="130"/>
      <c r="D75" s="131"/>
      <c r="E75" s="130"/>
      <c r="F75" s="140" t="s">
        <v>104</v>
      </c>
      <c r="G75" s="144">
        <f>G76</f>
        <v>429820700</v>
      </c>
      <c r="H75" s="132"/>
      <c r="I75" s="138">
        <f>Maret!M75</f>
        <v>0</v>
      </c>
      <c r="J75" s="134">
        <f>Maret!N75</f>
        <v>0</v>
      </c>
      <c r="K75" s="136"/>
      <c r="L75" s="135"/>
      <c r="M75" s="138"/>
      <c r="N75" s="139"/>
      <c r="O75" s="137"/>
      <c r="P75" s="136"/>
    </row>
    <row r="76" spans="1:16" s="49" customFormat="1" ht="23.25" customHeight="1">
      <c r="A76" s="36">
        <v>2</v>
      </c>
      <c r="B76" s="36">
        <v>8</v>
      </c>
      <c r="C76" s="36">
        <v>6</v>
      </c>
      <c r="D76" s="37"/>
      <c r="E76" s="36"/>
      <c r="F76" s="38" t="s">
        <v>16</v>
      </c>
      <c r="G76" s="46">
        <f>G77+G80</f>
        <v>429820700</v>
      </c>
      <c r="H76" s="40">
        <f t="shared" ref="H76:H81" si="20">+G76/$G$119*100%</f>
        <v>2.8826330430329009E-2</v>
      </c>
      <c r="I76" s="39">
        <f>Maret!M76</f>
        <v>0</v>
      </c>
      <c r="J76" s="42">
        <f>Maret!N76</f>
        <v>0</v>
      </c>
      <c r="K76" s="46">
        <f>+K77</f>
        <v>0</v>
      </c>
      <c r="L76" s="109">
        <f t="shared" ref="L76:L81" si="21">K76/G76*100</f>
        <v>0</v>
      </c>
      <c r="M76" s="39">
        <f t="shared" ref="M76:M81" si="22">I76+K76</f>
        <v>0</v>
      </c>
      <c r="N76" s="43">
        <f t="shared" ref="N76:N81" si="23">M76/G76*100</f>
        <v>0</v>
      </c>
      <c r="O76" s="44"/>
      <c r="P76" s="39">
        <f t="shared" ref="P76:P81" si="24">G76-M76</f>
        <v>429820700</v>
      </c>
    </row>
    <row r="77" spans="1:16" s="106" customFormat="1" ht="36" customHeight="1">
      <c r="A77" s="5">
        <v>2</v>
      </c>
      <c r="B77" s="5">
        <v>8</v>
      </c>
      <c r="C77" s="5">
        <v>6</v>
      </c>
      <c r="D77" s="6" t="s">
        <v>8</v>
      </c>
      <c r="E77" s="5"/>
      <c r="F77" s="7" t="s">
        <v>15</v>
      </c>
      <c r="G77" s="45">
        <f>G78+G79</f>
        <v>389820900</v>
      </c>
      <c r="H77" s="9">
        <f t="shared" si="20"/>
        <v>2.6143706136182464E-2</v>
      </c>
      <c r="I77" s="8">
        <f>Maret!M77</f>
        <v>0</v>
      </c>
      <c r="J77" s="11">
        <f>Maret!N77</f>
        <v>0</v>
      </c>
      <c r="K77" s="45">
        <f>K78+K79</f>
        <v>0</v>
      </c>
      <c r="L77" s="108">
        <f t="shared" si="21"/>
        <v>0</v>
      </c>
      <c r="M77" s="8">
        <f t="shared" si="22"/>
        <v>0</v>
      </c>
      <c r="N77" s="12">
        <f t="shared" si="23"/>
        <v>0</v>
      </c>
      <c r="O77" s="13"/>
      <c r="P77" s="8">
        <f t="shared" si="24"/>
        <v>389820900</v>
      </c>
    </row>
    <row r="78" spans="1:16" s="3" customFormat="1" ht="30" customHeight="1">
      <c r="A78" s="14">
        <v>2</v>
      </c>
      <c r="B78" s="14">
        <v>8</v>
      </c>
      <c r="C78" s="14">
        <v>6</v>
      </c>
      <c r="D78" s="15" t="s">
        <v>8</v>
      </c>
      <c r="E78" s="14">
        <v>2</v>
      </c>
      <c r="F78" s="166" t="s">
        <v>122</v>
      </c>
      <c r="G78" s="17">
        <v>201924900</v>
      </c>
      <c r="H78" s="18">
        <f t="shared" si="20"/>
        <v>1.3542283769746647E-2</v>
      </c>
      <c r="I78" s="21">
        <f>Maret!M78</f>
        <v>0</v>
      </c>
      <c r="J78" s="190">
        <f>Maret!N78</f>
        <v>0</v>
      </c>
      <c r="K78" s="21">
        <v>0</v>
      </c>
      <c r="L78" s="20">
        <f t="shared" si="21"/>
        <v>0</v>
      </c>
      <c r="M78" s="30">
        <f t="shared" si="22"/>
        <v>0</v>
      </c>
      <c r="N78" s="29">
        <f t="shared" si="23"/>
        <v>0</v>
      </c>
      <c r="O78" s="22"/>
      <c r="P78" s="21">
        <f t="shared" si="24"/>
        <v>201924900</v>
      </c>
    </row>
    <row r="79" spans="1:16" s="3" customFormat="1" ht="43.5" customHeight="1">
      <c r="A79" s="14">
        <v>2</v>
      </c>
      <c r="B79" s="14">
        <v>8</v>
      </c>
      <c r="C79" s="14">
        <v>6</v>
      </c>
      <c r="D79" s="15" t="s">
        <v>8</v>
      </c>
      <c r="E79" s="14">
        <v>3</v>
      </c>
      <c r="F79" s="166" t="s">
        <v>123</v>
      </c>
      <c r="G79" s="17">
        <v>187896000</v>
      </c>
      <c r="H79" s="18">
        <f t="shared" si="20"/>
        <v>1.2601422366435818E-2</v>
      </c>
      <c r="I79" s="21">
        <f>Maret!M79</f>
        <v>0</v>
      </c>
      <c r="J79" s="190">
        <f>Maret!N79</f>
        <v>0</v>
      </c>
      <c r="K79" s="21">
        <v>0</v>
      </c>
      <c r="L79" s="20">
        <f t="shared" si="21"/>
        <v>0</v>
      </c>
      <c r="M79" s="30">
        <f t="shared" si="22"/>
        <v>0</v>
      </c>
      <c r="N79" s="29">
        <f t="shared" si="23"/>
        <v>0</v>
      </c>
      <c r="O79" s="22"/>
      <c r="P79" s="21">
        <f t="shared" si="24"/>
        <v>187896000</v>
      </c>
    </row>
    <row r="80" spans="1:16" s="3" customFormat="1" ht="33.75" customHeight="1">
      <c r="A80" s="5">
        <v>2</v>
      </c>
      <c r="B80" s="5">
        <v>8</v>
      </c>
      <c r="C80" s="5">
        <v>6</v>
      </c>
      <c r="D80" s="6" t="s">
        <v>7</v>
      </c>
      <c r="E80" s="5"/>
      <c r="F80" s="167" t="s">
        <v>124</v>
      </c>
      <c r="G80" s="45">
        <f>G81</f>
        <v>39999800</v>
      </c>
      <c r="H80" s="9">
        <f t="shared" si="20"/>
        <v>2.6826242941465463E-3</v>
      </c>
      <c r="I80" s="8">
        <f>Maret!M80</f>
        <v>0</v>
      </c>
      <c r="J80" s="11">
        <f>Maret!N80</f>
        <v>0</v>
      </c>
      <c r="K80" s="45">
        <f>K81+K82</f>
        <v>0</v>
      </c>
      <c r="L80" s="108">
        <f t="shared" si="21"/>
        <v>0</v>
      </c>
      <c r="M80" s="8">
        <f t="shared" si="22"/>
        <v>0</v>
      </c>
      <c r="N80" s="12">
        <f t="shared" si="23"/>
        <v>0</v>
      </c>
      <c r="O80" s="13"/>
      <c r="P80" s="8">
        <f t="shared" si="24"/>
        <v>39999800</v>
      </c>
    </row>
    <row r="81" spans="1:16" s="3" customFormat="1" ht="27.75" customHeight="1">
      <c r="A81" s="14">
        <v>2</v>
      </c>
      <c r="B81" s="14">
        <v>8</v>
      </c>
      <c r="C81" s="14">
        <v>6</v>
      </c>
      <c r="D81" s="15" t="s">
        <v>7</v>
      </c>
      <c r="E81" s="14">
        <v>6</v>
      </c>
      <c r="F81" s="166" t="s">
        <v>125</v>
      </c>
      <c r="G81" s="17">
        <v>39999800</v>
      </c>
      <c r="H81" s="18">
        <f t="shared" si="20"/>
        <v>2.6826242941465463E-3</v>
      </c>
      <c r="I81" s="21">
        <f>Maret!M81</f>
        <v>0</v>
      </c>
      <c r="J81" s="190">
        <f>Maret!N81</f>
        <v>0</v>
      </c>
      <c r="K81" s="30">
        <v>0</v>
      </c>
      <c r="L81" s="20">
        <f t="shared" si="21"/>
        <v>0</v>
      </c>
      <c r="M81" s="30">
        <f t="shared" si="22"/>
        <v>0</v>
      </c>
      <c r="N81" s="29">
        <f t="shared" si="23"/>
        <v>0</v>
      </c>
      <c r="O81" s="22"/>
      <c r="P81" s="21">
        <f t="shared" si="24"/>
        <v>39999800</v>
      </c>
    </row>
    <row r="82" spans="1:16" s="3" customFormat="1" ht="30" customHeight="1">
      <c r="A82" s="130"/>
      <c r="B82" s="130"/>
      <c r="C82" s="130"/>
      <c r="D82" s="131"/>
      <c r="E82" s="130"/>
      <c r="F82" s="140" t="s">
        <v>105</v>
      </c>
      <c r="G82" s="144">
        <f>G83</f>
        <v>690942900</v>
      </c>
      <c r="H82" s="132"/>
      <c r="I82" s="138">
        <f>Maret!M82</f>
        <v>0</v>
      </c>
      <c r="J82" s="134">
        <f>Maret!N82</f>
        <v>0</v>
      </c>
      <c r="K82" s="136"/>
      <c r="L82" s="135"/>
      <c r="M82" s="138"/>
      <c r="N82" s="139"/>
      <c r="O82" s="143"/>
      <c r="P82" s="136"/>
    </row>
    <row r="83" spans="1:16" s="49" customFormat="1" ht="27" customHeight="1">
      <c r="A83" s="36">
        <v>2</v>
      </c>
      <c r="B83" s="36">
        <v>8</v>
      </c>
      <c r="C83" s="36">
        <v>7</v>
      </c>
      <c r="D83" s="37"/>
      <c r="E83" s="36"/>
      <c r="F83" s="38" t="s">
        <v>94</v>
      </c>
      <c r="G83" s="46">
        <f>G84+G86</f>
        <v>690942900</v>
      </c>
      <c r="H83" s="40">
        <f>+G83/$G$119*100%</f>
        <v>4.6338736928886334E-2</v>
      </c>
      <c r="I83" s="39">
        <f>Maret!M83</f>
        <v>0</v>
      </c>
      <c r="J83" s="42">
        <f>Maret!N83</f>
        <v>0</v>
      </c>
      <c r="K83" s="46">
        <f>K84+K86</f>
        <v>81992000</v>
      </c>
      <c r="L83" s="43">
        <f>K83/G83*100</f>
        <v>11.866682471156444</v>
      </c>
      <c r="M83" s="39">
        <f>I83+K83</f>
        <v>81992000</v>
      </c>
      <c r="N83" s="43">
        <f>M83/G83*100</f>
        <v>11.866682471156444</v>
      </c>
      <c r="O83" s="44"/>
      <c r="P83" s="39">
        <f>G83-M83</f>
        <v>608950900</v>
      </c>
    </row>
    <row r="84" spans="1:16" s="106" customFormat="1" ht="40.5" customHeight="1">
      <c r="A84" s="5">
        <v>2</v>
      </c>
      <c r="B84" s="5">
        <v>8</v>
      </c>
      <c r="C84" s="5">
        <v>7</v>
      </c>
      <c r="D84" s="6" t="s">
        <v>8</v>
      </c>
      <c r="E84" s="5"/>
      <c r="F84" s="7" t="s">
        <v>43</v>
      </c>
      <c r="G84" s="45">
        <f>G85</f>
        <v>514072900</v>
      </c>
      <c r="H84" s="9">
        <f>+G84/$G$119*100%</f>
        <v>3.4476783646477431E-2</v>
      </c>
      <c r="I84" s="8">
        <f>Maret!M84</f>
        <v>0</v>
      </c>
      <c r="J84" s="11">
        <f>Maret!N84</f>
        <v>0</v>
      </c>
      <c r="K84" s="45">
        <f>K85</f>
        <v>81992000</v>
      </c>
      <c r="L84" s="12">
        <f>K84/G84*100</f>
        <v>15.949488875994048</v>
      </c>
      <c r="M84" s="8">
        <f>I84+K84</f>
        <v>81992000</v>
      </c>
      <c r="N84" s="12">
        <f>M84/G84*100</f>
        <v>15.949488875994048</v>
      </c>
      <c r="O84" s="13"/>
      <c r="P84" s="8">
        <f>G84-M84</f>
        <v>432080900</v>
      </c>
    </row>
    <row r="85" spans="1:16" s="3" customFormat="1" ht="40.5" customHeight="1">
      <c r="A85" s="14">
        <v>2</v>
      </c>
      <c r="B85" s="14">
        <v>8</v>
      </c>
      <c r="C85" s="14">
        <v>7</v>
      </c>
      <c r="D85" s="15" t="s">
        <v>8</v>
      </c>
      <c r="E85" s="14">
        <v>2</v>
      </c>
      <c r="F85" s="16" t="s">
        <v>82</v>
      </c>
      <c r="G85" s="17">
        <v>514072900</v>
      </c>
      <c r="H85" s="18">
        <f>+G85/$G$119*100%</f>
        <v>3.4476783646477431E-2</v>
      </c>
      <c r="I85" s="21">
        <f>Maret!M85</f>
        <v>0</v>
      </c>
      <c r="J85" s="190">
        <f>Maret!N85</f>
        <v>0</v>
      </c>
      <c r="K85" s="21">
        <f>117000+900000+375000+300000+300000+80000000</f>
        <v>81992000</v>
      </c>
      <c r="L85" s="20">
        <f>K85/G85*100</f>
        <v>15.949488875994048</v>
      </c>
      <c r="M85" s="21">
        <f>I85+K85</f>
        <v>81992000</v>
      </c>
      <c r="N85" s="20">
        <f>M85/G85*100</f>
        <v>15.949488875994048</v>
      </c>
      <c r="O85" s="22"/>
      <c r="P85" s="21">
        <f>G85-M85</f>
        <v>432080900</v>
      </c>
    </row>
    <row r="86" spans="1:16" s="106" customFormat="1" ht="48.75" customHeight="1">
      <c r="A86" s="5">
        <v>2</v>
      </c>
      <c r="B86" s="5">
        <v>8</v>
      </c>
      <c r="C86" s="5">
        <v>7</v>
      </c>
      <c r="D86" s="6" t="s">
        <v>14</v>
      </c>
      <c r="E86" s="5"/>
      <c r="F86" s="7" t="s">
        <v>13</v>
      </c>
      <c r="G86" s="45">
        <f>G87</f>
        <v>176870000</v>
      </c>
      <c r="H86" s="9">
        <f>+G86/$G$119*100%</f>
        <v>1.1861953282408902E-2</v>
      </c>
      <c r="I86" s="8">
        <f>Maret!M86</f>
        <v>0</v>
      </c>
      <c r="J86" s="11">
        <f>Maret!N86</f>
        <v>0</v>
      </c>
      <c r="K86" s="45">
        <f>K87</f>
        <v>0</v>
      </c>
      <c r="L86" s="108">
        <f>K86/G86*100</f>
        <v>0</v>
      </c>
      <c r="M86" s="8">
        <f>I86+K86</f>
        <v>0</v>
      </c>
      <c r="N86" s="12">
        <f>M86/G86*100</f>
        <v>0</v>
      </c>
      <c r="O86" s="13"/>
      <c r="P86" s="8">
        <f>G86-M86</f>
        <v>176870000</v>
      </c>
    </row>
    <row r="87" spans="1:16" s="3" customFormat="1" ht="40.5" customHeight="1">
      <c r="A87" s="14">
        <v>2</v>
      </c>
      <c r="B87" s="14">
        <v>8</v>
      </c>
      <c r="C87" s="14">
        <v>7</v>
      </c>
      <c r="D87" s="15" t="s">
        <v>14</v>
      </c>
      <c r="E87" s="14">
        <v>8</v>
      </c>
      <c r="F87" s="166" t="s">
        <v>126</v>
      </c>
      <c r="G87" s="17">
        <v>176870000</v>
      </c>
      <c r="H87" s="18">
        <f>+G87/$G$119*100%</f>
        <v>1.1861953282408902E-2</v>
      </c>
      <c r="I87" s="21">
        <f>Maret!M87</f>
        <v>0</v>
      </c>
      <c r="J87" s="190">
        <f>Maret!N87</f>
        <v>0</v>
      </c>
      <c r="K87" s="21">
        <v>0</v>
      </c>
      <c r="L87" s="20">
        <f>K87/G87*100</f>
        <v>0</v>
      </c>
      <c r="M87" s="30">
        <f>I87+K87</f>
        <v>0</v>
      </c>
      <c r="N87" s="29">
        <f>M87/G87*100</f>
        <v>0</v>
      </c>
      <c r="O87" s="22"/>
      <c r="P87" s="21">
        <f>G87-M87</f>
        <v>176870000</v>
      </c>
    </row>
    <row r="88" spans="1:16" s="146" customFormat="1" ht="35.25" customHeight="1">
      <c r="A88" s="130"/>
      <c r="B88" s="130"/>
      <c r="C88" s="130"/>
      <c r="D88" s="131"/>
      <c r="E88" s="130"/>
      <c r="F88" s="140" t="s">
        <v>106</v>
      </c>
      <c r="G88" s="144">
        <f>G89+G95+G98</f>
        <v>753381950</v>
      </c>
      <c r="H88" s="132"/>
      <c r="I88" s="138">
        <f>Maret!M88</f>
        <v>0</v>
      </c>
      <c r="J88" s="134">
        <f>Maret!N88</f>
        <v>0</v>
      </c>
      <c r="K88" s="136"/>
      <c r="L88" s="135"/>
      <c r="M88" s="138"/>
      <c r="N88" s="139"/>
      <c r="O88" s="143"/>
      <c r="P88" s="136"/>
    </row>
    <row r="89" spans="1:16" s="49" customFormat="1" ht="31.5" customHeight="1">
      <c r="A89" s="36">
        <v>2</v>
      </c>
      <c r="B89" s="36">
        <v>14</v>
      </c>
      <c r="C89" s="36">
        <v>2</v>
      </c>
      <c r="D89" s="37"/>
      <c r="E89" s="36"/>
      <c r="F89" s="38" t="s">
        <v>12</v>
      </c>
      <c r="G89" s="46">
        <f>G90+G93</f>
        <v>232558950</v>
      </c>
      <c r="H89" s="40">
        <f>+G89/$G$119*100%</f>
        <v>1.5596785211206353E-2</v>
      </c>
      <c r="I89" s="39">
        <f>Maret!M89</f>
        <v>0</v>
      </c>
      <c r="J89" s="42">
        <f>Maret!N89</f>
        <v>0</v>
      </c>
      <c r="K89" s="46">
        <f>K90</f>
        <v>0</v>
      </c>
      <c r="L89" s="109">
        <f>K89/G89*100</f>
        <v>0</v>
      </c>
      <c r="M89" s="39">
        <f>I89+K89</f>
        <v>0</v>
      </c>
      <c r="N89" s="43">
        <f>M89/G89*100</f>
        <v>0</v>
      </c>
      <c r="O89" s="44"/>
      <c r="P89" s="39">
        <f t="shared" ref="P89:P103" si="25">G89-M89</f>
        <v>232558950</v>
      </c>
    </row>
    <row r="90" spans="1:16" s="106" customFormat="1" ht="40.5" customHeight="1">
      <c r="A90" s="5">
        <v>2</v>
      </c>
      <c r="B90" s="5">
        <v>14</v>
      </c>
      <c r="C90" s="5">
        <v>2</v>
      </c>
      <c r="D90" s="6" t="s">
        <v>8</v>
      </c>
      <c r="E90" s="5"/>
      <c r="F90" s="7" t="s">
        <v>11</v>
      </c>
      <c r="G90" s="45">
        <f>G91+G92</f>
        <v>220558950</v>
      </c>
      <c r="H90" s="9">
        <f>+G90/$G$119*100%</f>
        <v>1.479199389900583E-2</v>
      </c>
      <c r="I90" s="8">
        <f>Maret!M90</f>
        <v>0</v>
      </c>
      <c r="J90" s="11">
        <f>Maret!N90</f>
        <v>0</v>
      </c>
      <c r="K90" s="45">
        <f>K91</f>
        <v>0</v>
      </c>
      <c r="L90" s="108">
        <f>K90/G90*100</f>
        <v>0</v>
      </c>
      <c r="M90" s="8">
        <f>I90+K90</f>
        <v>0</v>
      </c>
      <c r="N90" s="12">
        <f>M90/G90*100</f>
        <v>0</v>
      </c>
      <c r="O90" s="13"/>
      <c r="P90" s="8">
        <f t="shared" si="25"/>
        <v>220558950</v>
      </c>
    </row>
    <row r="91" spans="1:16" s="3" customFormat="1" ht="25.5" customHeight="1">
      <c r="A91" s="14">
        <v>2</v>
      </c>
      <c r="B91" s="14">
        <v>14</v>
      </c>
      <c r="C91" s="14">
        <v>2</v>
      </c>
      <c r="D91" s="15" t="s">
        <v>8</v>
      </c>
      <c r="E91" s="14">
        <v>3</v>
      </c>
      <c r="F91" s="16" t="s">
        <v>89</v>
      </c>
      <c r="G91" s="17">
        <v>99423950</v>
      </c>
      <c r="H91" s="18">
        <f>+G91/$G$119*100%</f>
        <v>6.6679609320549477E-3</v>
      </c>
      <c r="I91" s="21">
        <f>Maret!M91</f>
        <v>0</v>
      </c>
      <c r="J91" s="190">
        <f>Maret!N91</f>
        <v>0</v>
      </c>
      <c r="K91" s="21">
        <v>0</v>
      </c>
      <c r="L91" s="20">
        <f>K91/G91*100</f>
        <v>0</v>
      </c>
      <c r="M91" s="30">
        <f>I91+K91</f>
        <v>0</v>
      </c>
      <c r="N91" s="29">
        <f>M91/G91*100</f>
        <v>0</v>
      </c>
      <c r="O91" s="22"/>
      <c r="P91" s="21">
        <f t="shared" si="25"/>
        <v>99423950</v>
      </c>
    </row>
    <row r="92" spans="1:16" s="3" customFormat="1" ht="47.25" customHeight="1">
      <c r="A92" s="14">
        <v>2</v>
      </c>
      <c r="B92" s="14">
        <v>14</v>
      </c>
      <c r="C92" s="14">
        <v>2</v>
      </c>
      <c r="D92" s="15" t="s">
        <v>8</v>
      </c>
      <c r="E92" s="14">
        <v>7</v>
      </c>
      <c r="F92" s="16" t="s">
        <v>154</v>
      </c>
      <c r="G92" s="17">
        <v>121135000</v>
      </c>
      <c r="H92" s="18">
        <f>+G92/$G$119*100%</f>
        <v>8.124032966950882E-3</v>
      </c>
      <c r="I92" s="21">
        <f>Maret!M92</f>
        <v>0</v>
      </c>
      <c r="J92" s="190">
        <f>Maret!N92</f>
        <v>0</v>
      </c>
      <c r="K92" s="21"/>
      <c r="L92" s="20"/>
      <c r="M92" s="30"/>
      <c r="N92" s="29"/>
      <c r="O92" s="22"/>
      <c r="P92" s="21">
        <f t="shared" si="25"/>
        <v>121135000</v>
      </c>
    </row>
    <row r="93" spans="1:16" s="3" customFormat="1" ht="27" customHeight="1">
      <c r="A93" s="5">
        <v>2</v>
      </c>
      <c r="B93" s="5">
        <v>14</v>
      </c>
      <c r="C93" s="5">
        <v>2</v>
      </c>
      <c r="D93" s="6" t="s">
        <v>7</v>
      </c>
      <c r="E93" s="5"/>
      <c r="F93" s="7" t="s">
        <v>156</v>
      </c>
      <c r="G93" s="45">
        <f>G94</f>
        <v>12000000</v>
      </c>
      <c r="H93" s="9">
        <f t="shared" ref="H93:H103" si="26">+G93/$G$119*100%</f>
        <v>8.0479131220052478E-4</v>
      </c>
      <c r="I93" s="8">
        <f>Maret!M93</f>
        <v>0</v>
      </c>
      <c r="J93" s="11">
        <f>Maret!N93</f>
        <v>0</v>
      </c>
      <c r="K93" s="45">
        <f>K94</f>
        <v>0</v>
      </c>
      <c r="L93" s="108">
        <f>K93/G93*100</f>
        <v>0</v>
      </c>
      <c r="M93" s="8">
        <f>I93+K93</f>
        <v>0</v>
      </c>
      <c r="N93" s="12">
        <f>M93/G93*100</f>
        <v>0</v>
      </c>
      <c r="O93" s="13"/>
      <c r="P93" s="8">
        <f t="shared" si="25"/>
        <v>12000000</v>
      </c>
    </row>
    <row r="94" spans="1:16" s="3" customFormat="1" ht="29.25" customHeight="1">
      <c r="A94" s="14">
        <v>2</v>
      </c>
      <c r="B94" s="14">
        <v>14</v>
      </c>
      <c r="C94" s="14">
        <v>2</v>
      </c>
      <c r="D94" s="15" t="s">
        <v>7</v>
      </c>
      <c r="E94" s="14">
        <v>2</v>
      </c>
      <c r="F94" s="16" t="s">
        <v>155</v>
      </c>
      <c r="G94" s="17">
        <v>12000000</v>
      </c>
      <c r="H94" s="18">
        <f t="shared" si="26"/>
        <v>8.0479131220052478E-4</v>
      </c>
      <c r="I94" s="21">
        <f>Maret!M94</f>
        <v>0</v>
      </c>
      <c r="J94" s="190">
        <f>Maret!N94</f>
        <v>0</v>
      </c>
      <c r="K94" s="21">
        <v>0</v>
      </c>
      <c r="L94" s="20">
        <f>K94/G94*100</f>
        <v>0</v>
      </c>
      <c r="M94" s="30">
        <f>I94+K94</f>
        <v>0</v>
      </c>
      <c r="N94" s="29">
        <f>M94/G94*100</f>
        <v>0</v>
      </c>
      <c r="O94" s="22"/>
      <c r="P94" s="21">
        <f t="shared" si="25"/>
        <v>12000000</v>
      </c>
    </row>
    <row r="95" spans="1:16" s="49" customFormat="1" ht="26.25" customHeight="1">
      <c r="A95" s="36">
        <v>2</v>
      </c>
      <c r="B95" s="36">
        <v>14</v>
      </c>
      <c r="C95" s="36">
        <v>3</v>
      </c>
      <c r="D95" s="37"/>
      <c r="E95" s="36"/>
      <c r="F95" s="38" t="s">
        <v>10</v>
      </c>
      <c r="G95" s="46">
        <f>G96</f>
        <v>23923000</v>
      </c>
      <c r="H95" s="40">
        <f t="shared" si="26"/>
        <v>1.6044185468144297E-3</v>
      </c>
      <c r="I95" s="39">
        <f>Maret!M95</f>
        <v>0</v>
      </c>
      <c r="J95" s="42">
        <f>Maret!N95</f>
        <v>0</v>
      </c>
      <c r="K95" s="46">
        <f>K96</f>
        <v>0</v>
      </c>
      <c r="L95" s="109">
        <f t="shared" ref="L95:L103" si="27">K95/G95*100</f>
        <v>0</v>
      </c>
      <c r="M95" s="39">
        <f t="shared" ref="M95:M103" si="28">I95+K95</f>
        <v>0</v>
      </c>
      <c r="N95" s="43">
        <f t="shared" ref="N95:N103" si="29">M95/G95*100</f>
        <v>0</v>
      </c>
      <c r="O95" s="44"/>
      <c r="P95" s="39">
        <f t="shared" si="25"/>
        <v>23923000</v>
      </c>
    </row>
    <row r="96" spans="1:16" s="106" customFormat="1" ht="42.75" customHeight="1">
      <c r="A96" s="5">
        <v>2</v>
      </c>
      <c r="B96" s="5">
        <v>14</v>
      </c>
      <c r="C96" s="5">
        <v>3</v>
      </c>
      <c r="D96" s="6" t="s">
        <v>7</v>
      </c>
      <c r="E96" s="5"/>
      <c r="F96" s="167" t="s">
        <v>128</v>
      </c>
      <c r="G96" s="45">
        <f>G97</f>
        <v>23923000</v>
      </c>
      <c r="H96" s="9">
        <f t="shared" si="26"/>
        <v>1.6044185468144297E-3</v>
      </c>
      <c r="I96" s="8">
        <f>Maret!M96</f>
        <v>0</v>
      </c>
      <c r="J96" s="11">
        <f>Maret!N96</f>
        <v>0</v>
      </c>
      <c r="K96" s="45">
        <f>K97</f>
        <v>0</v>
      </c>
      <c r="L96" s="108">
        <f t="shared" si="27"/>
        <v>0</v>
      </c>
      <c r="M96" s="8">
        <f t="shared" si="28"/>
        <v>0</v>
      </c>
      <c r="N96" s="12">
        <f t="shared" si="29"/>
        <v>0</v>
      </c>
      <c r="O96" s="13"/>
      <c r="P96" s="8">
        <f t="shared" si="25"/>
        <v>23923000</v>
      </c>
    </row>
    <row r="97" spans="1:16" s="3" customFormat="1" ht="38.25" customHeight="1">
      <c r="A97" s="14">
        <v>2</v>
      </c>
      <c r="B97" s="14">
        <v>14</v>
      </c>
      <c r="C97" s="14">
        <v>3</v>
      </c>
      <c r="D97" s="15" t="s">
        <v>7</v>
      </c>
      <c r="E97" s="14">
        <v>2</v>
      </c>
      <c r="F97" s="166" t="s">
        <v>157</v>
      </c>
      <c r="G97" s="17">
        <v>23923000</v>
      </c>
      <c r="H97" s="18">
        <f t="shared" si="26"/>
        <v>1.6044185468144297E-3</v>
      </c>
      <c r="I97" s="21">
        <f>Maret!M97</f>
        <v>0</v>
      </c>
      <c r="J97" s="190">
        <f>Maret!N97</f>
        <v>0</v>
      </c>
      <c r="K97" s="21">
        <v>0</v>
      </c>
      <c r="L97" s="20">
        <f t="shared" si="27"/>
        <v>0</v>
      </c>
      <c r="M97" s="30">
        <f t="shared" si="28"/>
        <v>0</v>
      </c>
      <c r="N97" s="29">
        <f t="shared" si="29"/>
        <v>0</v>
      </c>
      <c r="O97" s="22"/>
      <c r="P97" s="21">
        <f t="shared" si="25"/>
        <v>23923000</v>
      </c>
    </row>
    <row r="98" spans="1:16" s="49" customFormat="1" ht="26.25" customHeight="1">
      <c r="A98" s="36">
        <v>2</v>
      </c>
      <c r="B98" s="36">
        <v>14</v>
      </c>
      <c r="C98" s="36">
        <v>4</v>
      </c>
      <c r="D98" s="37"/>
      <c r="E98" s="36"/>
      <c r="F98" s="38" t="s">
        <v>9</v>
      </c>
      <c r="G98" s="46">
        <f>G99+G102</f>
        <v>496900000</v>
      </c>
      <c r="H98" s="40">
        <f t="shared" si="26"/>
        <v>3.3325066919370067E-2</v>
      </c>
      <c r="I98" s="39">
        <f>Maret!M98</f>
        <v>0</v>
      </c>
      <c r="J98" s="42">
        <f>Maret!N98</f>
        <v>0</v>
      </c>
      <c r="K98" s="46">
        <f>K99+K102</f>
        <v>0</v>
      </c>
      <c r="L98" s="109">
        <f t="shared" si="27"/>
        <v>0</v>
      </c>
      <c r="M98" s="39">
        <f t="shared" si="28"/>
        <v>0</v>
      </c>
      <c r="N98" s="43">
        <f t="shared" si="29"/>
        <v>0</v>
      </c>
      <c r="O98" s="48"/>
      <c r="P98" s="39">
        <f t="shared" si="25"/>
        <v>496900000</v>
      </c>
    </row>
    <row r="99" spans="1:16" s="106" customFormat="1" ht="40.5" customHeight="1">
      <c r="A99" s="5">
        <v>2</v>
      </c>
      <c r="B99" s="5">
        <v>14</v>
      </c>
      <c r="C99" s="5">
        <v>4</v>
      </c>
      <c r="D99" s="6" t="s">
        <v>8</v>
      </c>
      <c r="E99" s="5"/>
      <c r="F99" s="7" t="s">
        <v>90</v>
      </c>
      <c r="G99" s="45">
        <f>G100+G101</f>
        <v>469750000</v>
      </c>
      <c r="H99" s="9">
        <f t="shared" si="26"/>
        <v>3.1504226575516381E-2</v>
      </c>
      <c r="I99" s="8">
        <f>Maret!M99</f>
        <v>0</v>
      </c>
      <c r="J99" s="11">
        <f>Maret!N99</f>
        <v>0</v>
      </c>
      <c r="K99" s="45">
        <f>K100</f>
        <v>0</v>
      </c>
      <c r="L99" s="108">
        <f t="shared" si="27"/>
        <v>0</v>
      </c>
      <c r="M99" s="8">
        <f t="shared" si="28"/>
        <v>0</v>
      </c>
      <c r="N99" s="12">
        <f t="shared" si="29"/>
        <v>0</v>
      </c>
      <c r="O99" s="27"/>
      <c r="P99" s="8">
        <f t="shared" si="25"/>
        <v>469750000</v>
      </c>
    </row>
    <row r="100" spans="1:16" s="3" customFormat="1" ht="35.25" customHeight="1">
      <c r="A100" s="14">
        <v>2</v>
      </c>
      <c r="B100" s="14">
        <v>14</v>
      </c>
      <c r="C100" s="14">
        <v>4</v>
      </c>
      <c r="D100" s="15" t="s">
        <v>8</v>
      </c>
      <c r="E100" s="14">
        <v>17</v>
      </c>
      <c r="F100" s="166" t="s">
        <v>129</v>
      </c>
      <c r="G100" s="17">
        <v>316150000</v>
      </c>
      <c r="H100" s="18">
        <f t="shared" si="26"/>
        <v>2.120289777934966E-2</v>
      </c>
      <c r="I100" s="21">
        <f>Maret!M100</f>
        <v>0</v>
      </c>
      <c r="J100" s="190">
        <f>Maret!N100</f>
        <v>0</v>
      </c>
      <c r="K100" s="21">
        <v>0</v>
      </c>
      <c r="L100" s="20">
        <f t="shared" si="27"/>
        <v>0</v>
      </c>
      <c r="M100" s="30">
        <f t="shared" si="28"/>
        <v>0</v>
      </c>
      <c r="N100" s="29">
        <f t="shared" si="29"/>
        <v>0</v>
      </c>
      <c r="O100" s="23"/>
      <c r="P100" s="21">
        <f t="shared" si="25"/>
        <v>316150000</v>
      </c>
    </row>
    <row r="101" spans="1:16" s="3" customFormat="1" ht="28.5" customHeight="1">
      <c r="A101" s="14">
        <v>2</v>
      </c>
      <c r="B101" s="14">
        <v>14</v>
      </c>
      <c r="C101" s="14">
        <v>4</v>
      </c>
      <c r="D101" s="15" t="s">
        <v>8</v>
      </c>
      <c r="E101" s="14">
        <v>19</v>
      </c>
      <c r="F101" s="166" t="s">
        <v>158</v>
      </c>
      <c r="G101" s="17">
        <v>153600000</v>
      </c>
      <c r="H101" s="18">
        <f t="shared" si="26"/>
        <v>1.0301328796166718E-2</v>
      </c>
      <c r="I101" s="21">
        <f>Maret!M101</f>
        <v>0</v>
      </c>
      <c r="J101" s="190">
        <f>Maret!N101</f>
        <v>0</v>
      </c>
      <c r="K101" s="21"/>
      <c r="L101" s="20"/>
      <c r="M101" s="30"/>
      <c r="N101" s="29"/>
      <c r="O101" s="23"/>
      <c r="P101" s="21"/>
    </row>
    <row r="102" spans="1:16" s="106" customFormat="1" ht="47.25" customHeight="1">
      <c r="A102" s="5">
        <v>2</v>
      </c>
      <c r="B102" s="5">
        <v>14</v>
      </c>
      <c r="C102" s="5">
        <v>4</v>
      </c>
      <c r="D102" s="6" t="s">
        <v>7</v>
      </c>
      <c r="E102" s="5"/>
      <c r="F102" s="7" t="s">
        <v>6</v>
      </c>
      <c r="G102" s="26">
        <f>G103</f>
        <v>27150000</v>
      </c>
      <c r="H102" s="9">
        <f t="shared" si="26"/>
        <v>1.8208403438536875E-3</v>
      </c>
      <c r="I102" s="8">
        <f>Maret!M102</f>
        <v>0</v>
      </c>
      <c r="J102" s="11">
        <f>Maret!N102</f>
        <v>0</v>
      </c>
      <c r="K102" s="26">
        <f>K103</f>
        <v>0</v>
      </c>
      <c r="L102" s="108">
        <f t="shared" si="27"/>
        <v>0</v>
      </c>
      <c r="M102" s="8">
        <f t="shared" si="28"/>
        <v>0</v>
      </c>
      <c r="N102" s="12">
        <f t="shared" si="29"/>
        <v>0</v>
      </c>
      <c r="O102" s="27"/>
      <c r="P102" s="8">
        <f t="shared" si="25"/>
        <v>27150000</v>
      </c>
    </row>
    <row r="103" spans="1:16" s="3" customFormat="1" ht="60.75" customHeight="1">
      <c r="A103" s="14">
        <v>2</v>
      </c>
      <c r="B103" s="14">
        <v>14</v>
      </c>
      <c r="C103" s="14">
        <v>4</v>
      </c>
      <c r="D103" s="15" t="s">
        <v>7</v>
      </c>
      <c r="E103" s="14">
        <v>8</v>
      </c>
      <c r="F103" s="166" t="s">
        <v>130</v>
      </c>
      <c r="G103" s="25">
        <v>27150000</v>
      </c>
      <c r="H103" s="18">
        <f t="shared" si="26"/>
        <v>1.8208403438536875E-3</v>
      </c>
      <c r="I103" s="21">
        <f>Maret!M103</f>
        <v>0</v>
      </c>
      <c r="J103" s="190">
        <f>Maret!N103</f>
        <v>0</v>
      </c>
      <c r="K103" s="21">
        <v>0</v>
      </c>
      <c r="L103" s="20">
        <f t="shared" si="27"/>
        <v>0</v>
      </c>
      <c r="M103" s="30">
        <f t="shared" si="28"/>
        <v>0</v>
      </c>
      <c r="N103" s="29">
        <f t="shared" si="29"/>
        <v>0</v>
      </c>
      <c r="O103" s="23"/>
      <c r="P103" s="21">
        <f t="shared" si="25"/>
        <v>27150000</v>
      </c>
    </row>
    <row r="104" spans="1:16" s="3" customFormat="1" ht="31.5" customHeight="1">
      <c r="A104" s="130"/>
      <c r="B104" s="130"/>
      <c r="C104" s="130"/>
      <c r="D104" s="131"/>
      <c r="E104" s="130"/>
      <c r="F104" s="141" t="s">
        <v>101</v>
      </c>
      <c r="G104" s="142">
        <f>G105+G113+G116</f>
        <v>2677601700</v>
      </c>
      <c r="H104" s="132"/>
      <c r="I104" s="138">
        <f>Maret!M104</f>
        <v>0</v>
      </c>
      <c r="J104" s="134">
        <f>Maret!N104</f>
        <v>0</v>
      </c>
      <c r="K104" s="136"/>
      <c r="L104" s="135"/>
      <c r="M104" s="138"/>
      <c r="N104" s="139"/>
      <c r="O104" s="137"/>
      <c r="P104" s="136"/>
    </row>
    <row r="105" spans="1:16" s="49" customFormat="1" ht="27.75" customHeight="1">
      <c r="A105" s="36">
        <v>2</v>
      </c>
      <c r="B105" s="36">
        <v>8</v>
      </c>
      <c r="C105" s="36">
        <v>1</v>
      </c>
      <c r="D105" s="37"/>
      <c r="E105" s="36"/>
      <c r="F105" s="38" t="s">
        <v>5</v>
      </c>
      <c r="G105" s="46">
        <f>G106+G110</f>
        <v>317209700</v>
      </c>
      <c r="H105" s="40">
        <f>+G105/$G$119*100%</f>
        <v>2.1273967558811235E-2</v>
      </c>
      <c r="I105" s="39">
        <f>Maret!M105</f>
        <v>70564500</v>
      </c>
      <c r="J105" s="42">
        <f>Maret!N105</f>
        <v>22.245379003227203</v>
      </c>
      <c r="K105" s="46">
        <f>K106+K110</f>
        <v>26557071</v>
      </c>
      <c r="L105" s="43">
        <f>K105/G105*100</f>
        <v>8.372086666958797</v>
      </c>
      <c r="M105" s="39">
        <f>I105+K105</f>
        <v>97121571</v>
      </c>
      <c r="N105" s="43">
        <f>M105/G105*100</f>
        <v>30.617465670186</v>
      </c>
      <c r="O105" s="44"/>
      <c r="P105" s="39">
        <f t="shared" ref="P105:P118" si="30">G105-M105</f>
        <v>220088129</v>
      </c>
    </row>
    <row r="106" spans="1:16" s="106" customFormat="1" ht="27.75" customHeight="1">
      <c r="A106" s="5">
        <v>2</v>
      </c>
      <c r="B106" s="5">
        <v>8</v>
      </c>
      <c r="C106" s="5">
        <v>1</v>
      </c>
      <c r="D106" s="6" t="s">
        <v>24</v>
      </c>
      <c r="E106" s="5"/>
      <c r="F106" s="7" t="s">
        <v>4</v>
      </c>
      <c r="G106" s="45">
        <f>SUM(G107:G109)</f>
        <v>11797700</v>
      </c>
      <c r="H106" s="9">
        <f>+G106/$G$119*100%</f>
        <v>7.9122387199567767E-4</v>
      </c>
      <c r="I106" s="8">
        <f>Maret!M106</f>
        <v>0</v>
      </c>
      <c r="J106" s="11">
        <f>Maret!N106</f>
        <v>0</v>
      </c>
      <c r="K106" s="45">
        <f>K108+K109</f>
        <v>661600</v>
      </c>
      <c r="L106" s="12">
        <f>K106/G106*100</f>
        <v>5.6078727209540844</v>
      </c>
      <c r="M106" s="8">
        <f>I106+K106</f>
        <v>661600</v>
      </c>
      <c r="N106" s="12">
        <f>M106/G106*100</f>
        <v>5.6078727209540844</v>
      </c>
      <c r="O106" s="27"/>
      <c r="P106" s="8">
        <f t="shared" si="30"/>
        <v>11136100</v>
      </c>
    </row>
    <row r="107" spans="1:16" s="106" customFormat="1" ht="27.75" customHeight="1">
      <c r="A107" s="14">
        <v>2</v>
      </c>
      <c r="B107" s="14">
        <v>8</v>
      </c>
      <c r="C107" s="14">
        <v>1</v>
      </c>
      <c r="D107" s="15" t="s">
        <v>24</v>
      </c>
      <c r="E107" s="14">
        <v>1</v>
      </c>
      <c r="F107" s="16" t="s">
        <v>60</v>
      </c>
      <c r="G107" s="17">
        <v>1706000</v>
      </c>
      <c r="H107" s="18">
        <f>+G107/$G$119*100%</f>
        <v>1.1441449821784128E-4</v>
      </c>
      <c r="I107" s="21">
        <f>Maret!M107</f>
        <v>0</v>
      </c>
      <c r="J107" s="190">
        <f>Maret!N107</f>
        <v>0</v>
      </c>
      <c r="K107" s="21">
        <v>0</v>
      </c>
      <c r="L107" s="20">
        <f>K107/G107*100</f>
        <v>0</v>
      </c>
      <c r="M107" s="30">
        <f>I107+K107</f>
        <v>0</v>
      </c>
      <c r="N107" s="29">
        <f>M107/G107*100</f>
        <v>0</v>
      </c>
      <c r="O107" s="23"/>
      <c r="P107" s="21">
        <f t="shared" si="30"/>
        <v>1706000</v>
      </c>
    </row>
    <row r="108" spans="1:16" s="3" customFormat="1" ht="27.75" customHeight="1">
      <c r="A108" s="14">
        <v>2</v>
      </c>
      <c r="B108" s="14">
        <v>8</v>
      </c>
      <c r="C108" s="14">
        <v>1</v>
      </c>
      <c r="D108" s="15" t="s">
        <v>24</v>
      </c>
      <c r="E108" s="14">
        <v>2</v>
      </c>
      <c r="F108" s="16" t="s">
        <v>61</v>
      </c>
      <c r="G108" s="17">
        <v>8794500</v>
      </c>
      <c r="H108" s="18">
        <f>+G108/$G$119*100%</f>
        <v>5.8981143292895959E-4</v>
      </c>
      <c r="I108" s="21">
        <f>Maret!M108</f>
        <v>0</v>
      </c>
      <c r="J108" s="190">
        <f>Maret!N108</f>
        <v>0</v>
      </c>
      <c r="K108" s="21">
        <f>248000+110000</f>
        <v>358000</v>
      </c>
      <c r="L108" s="20">
        <f>K108/G108*100</f>
        <v>4.0707260219455348</v>
      </c>
      <c r="M108" s="21">
        <f>I108+K108</f>
        <v>358000</v>
      </c>
      <c r="N108" s="20">
        <f>M108/G108*100</f>
        <v>4.0707260219455348</v>
      </c>
      <c r="O108" s="23"/>
      <c r="P108" s="21">
        <f t="shared" si="30"/>
        <v>8436500</v>
      </c>
    </row>
    <row r="109" spans="1:16" s="3" customFormat="1" ht="27.75" customHeight="1">
      <c r="A109" s="14">
        <v>2</v>
      </c>
      <c r="B109" s="14">
        <v>8</v>
      </c>
      <c r="C109" s="14">
        <v>1</v>
      </c>
      <c r="D109" s="15" t="s">
        <v>24</v>
      </c>
      <c r="E109" s="14">
        <v>5</v>
      </c>
      <c r="F109" s="16" t="s">
        <v>62</v>
      </c>
      <c r="G109" s="17">
        <v>1297200</v>
      </c>
      <c r="H109" s="18">
        <f>+G109/$G$119*100%</f>
        <v>8.6997940848876733E-5</v>
      </c>
      <c r="I109" s="21">
        <f>Maret!M109</f>
        <v>0</v>
      </c>
      <c r="J109" s="190">
        <f>Maret!N109</f>
        <v>0</v>
      </c>
      <c r="K109" s="21">
        <f>66900+236700</f>
        <v>303600</v>
      </c>
      <c r="L109" s="20">
        <f>K109/G109*100</f>
        <v>23.404255319148938</v>
      </c>
      <c r="M109" s="21">
        <f>I109+K109</f>
        <v>303600</v>
      </c>
      <c r="N109" s="20">
        <f>M109/G109*100</f>
        <v>23.404255319148938</v>
      </c>
      <c r="O109" s="23"/>
      <c r="P109" s="21">
        <f>G109-M109</f>
        <v>993600</v>
      </c>
    </row>
    <row r="110" spans="1:16" s="106" customFormat="1" ht="27.75" customHeight="1">
      <c r="A110" s="5">
        <v>2</v>
      </c>
      <c r="B110" s="5">
        <v>8</v>
      </c>
      <c r="C110" s="5">
        <v>1</v>
      </c>
      <c r="D110" s="6" t="s">
        <v>23</v>
      </c>
      <c r="E110" s="5"/>
      <c r="F110" s="7" t="s">
        <v>3</v>
      </c>
      <c r="G110" s="45">
        <f>G111+G112</f>
        <v>305412000</v>
      </c>
      <c r="H110" s="9">
        <f t="shared" ref="H110:H119" si="31">+G110/$G$119*100%</f>
        <v>2.0482743686815557E-2</v>
      </c>
      <c r="I110" s="8">
        <f>Maret!M110</f>
        <v>70564500</v>
      </c>
      <c r="J110" s="11">
        <f>Maret!N110</f>
        <v>23.104691367726218</v>
      </c>
      <c r="K110" s="45">
        <f>K111+K112</f>
        <v>25895471</v>
      </c>
      <c r="L110" s="12">
        <f t="shared" ref="L110:L119" si="32">K110/G110*100</f>
        <v>8.4788649430932637</v>
      </c>
      <c r="M110" s="8">
        <f t="shared" ref="M110:M118" si="33">I110+K110</f>
        <v>96459971</v>
      </c>
      <c r="N110" s="12">
        <f t="shared" ref="N110:N119" si="34">M110/G110*100</f>
        <v>31.583556310819482</v>
      </c>
      <c r="O110" s="13"/>
      <c r="P110" s="8">
        <f t="shared" si="30"/>
        <v>208952029</v>
      </c>
    </row>
    <row r="111" spans="1:16" s="3" customFormat="1" ht="27.75" customHeight="1">
      <c r="A111" s="14">
        <v>2</v>
      </c>
      <c r="B111" s="14">
        <v>8</v>
      </c>
      <c r="C111" s="14">
        <v>1</v>
      </c>
      <c r="D111" s="15" t="s">
        <v>23</v>
      </c>
      <c r="E111" s="14">
        <v>2</v>
      </c>
      <c r="F111" s="16" t="s">
        <v>87</v>
      </c>
      <c r="G111" s="17">
        <v>22020000</v>
      </c>
      <c r="H111" s="18">
        <f t="shared" si="31"/>
        <v>1.4767920578879631E-3</v>
      </c>
      <c r="I111" s="21">
        <f>Maret!M111</f>
        <v>0</v>
      </c>
      <c r="J111" s="190">
        <f>Maret!N111</f>
        <v>0</v>
      </c>
      <c r="K111" s="24">
        <f>36300+478600+578825+344880+575086+360280</f>
        <v>2373971</v>
      </c>
      <c r="L111" s="20">
        <f t="shared" si="32"/>
        <v>10.78097638510445</v>
      </c>
      <c r="M111" s="21">
        <f t="shared" si="33"/>
        <v>2373971</v>
      </c>
      <c r="N111" s="20">
        <f t="shared" si="34"/>
        <v>10.78097638510445</v>
      </c>
      <c r="O111" s="22"/>
      <c r="P111" s="21">
        <f t="shared" si="30"/>
        <v>19646029</v>
      </c>
    </row>
    <row r="112" spans="1:16" s="3" customFormat="1" ht="27.75" customHeight="1">
      <c r="A112" s="14">
        <v>2</v>
      </c>
      <c r="B112" s="14">
        <v>8</v>
      </c>
      <c r="C112" s="14">
        <v>1</v>
      </c>
      <c r="D112" s="15" t="s">
        <v>23</v>
      </c>
      <c r="E112" s="14">
        <v>4</v>
      </c>
      <c r="F112" s="16" t="s">
        <v>68</v>
      </c>
      <c r="G112" s="17">
        <v>283392000</v>
      </c>
      <c r="H112" s="18">
        <f t="shared" si="31"/>
        <v>1.9005951628927594E-2</v>
      </c>
      <c r="I112" s="21">
        <f>Maret!M112</f>
        <v>70564500</v>
      </c>
      <c r="J112" s="190">
        <f>Maret!N112</f>
        <v>24.899961890243901</v>
      </c>
      <c r="K112" s="21">
        <f>23400000+121500</f>
        <v>23521500</v>
      </c>
      <c r="L112" s="20">
        <f t="shared" si="32"/>
        <v>8.2999872967479664</v>
      </c>
      <c r="M112" s="21">
        <f t="shared" si="33"/>
        <v>94086000</v>
      </c>
      <c r="N112" s="20">
        <f t="shared" si="34"/>
        <v>33.199949186991866</v>
      </c>
      <c r="O112" s="22"/>
      <c r="P112" s="21">
        <f t="shared" si="30"/>
        <v>189306000</v>
      </c>
    </row>
    <row r="113" spans="1:16" s="49" customFormat="1" ht="27.75" customHeight="1">
      <c r="A113" s="36">
        <v>2</v>
      </c>
      <c r="B113" s="36">
        <v>8</v>
      </c>
      <c r="C113" s="36">
        <v>3</v>
      </c>
      <c r="D113" s="37"/>
      <c r="E113" s="36"/>
      <c r="F113" s="38" t="s">
        <v>91</v>
      </c>
      <c r="G113" s="46">
        <f>G114</f>
        <v>2177844000</v>
      </c>
      <c r="H113" s="40">
        <f t="shared" si="31"/>
        <v>0.14605916087733664</v>
      </c>
      <c r="I113" s="39">
        <f>Maret!M113</f>
        <v>0</v>
      </c>
      <c r="J113" s="42">
        <f>Maret!N113</f>
        <v>0</v>
      </c>
      <c r="K113" s="46">
        <f>K114</f>
        <v>13623856</v>
      </c>
      <c r="L113" s="43">
        <f t="shared" si="32"/>
        <v>0.62556620217058712</v>
      </c>
      <c r="M113" s="39">
        <f t="shared" si="33"/>
        <v>13623856</v>
      </c>
      <c r="N113" s="43">
        <f t="shared" si="34"/>
        <v>0.62556620217058712</v>
      </c>
      <c r="O113" s="44"/>
      <c r="P113" s="39">
        <f t="shared" si="30"/>
        <v>2164220144</v>
      </c>
    </row>
    <row r="114" spans="1:16" s="106" customFormat="1" ht="40.5" customHeight="1">
      <c r="A114" s="5">
        <v>2</v>
      </c>
      <c r="B114" s="5">
        <v>8</v>
      </c>
      <c r="C114" s="5">
        <v>3</v>
      </c>
      <c r="D114" s="6" t="s">
        <v>7</v>
      </c>
      <c r="E114" s="5"/>
      <c r="F114" s="7" t="s">
        <v>47</v>
      </c>
      <c r="G114" s="45">
        <f>G115</f>
        <v>2177844000</v>
      </c>
      <c r="H114" s="9">
        <f t="shared" si="31"/>
        <v>0.14605916087733664</v>
      </c>
      <c r="I114" s="8">
        <f>Maret!M114</f>
        <v>0</v>
      </c>
      <c r="J114" s="11">
        <f>Maret!N114</f>
        <v>0</v>
      </c>
      <c r="K114" s="45">
        <f>K115</f>
        <v>13623856</v>
      </c>
      <c r="L114" s="12">
        <f t="shared" si="32"/>
        <v>0.62556620217058712</v>
      </c>
      <c r="M114" s="8">
        <f t="shared" si="33"/>
        <v>13623856</v>
      </c>
      <c r="N114" s="12">
        <f t="shared" si="34"/>
        <v>0.62556620217058712</v>
      </c>
      <c r="O114" s="13"/>
      <c r="P114" s="8">
        <f t="shared" si="30"/>
        <v>2164220144</v>
      </c>
    </row>
    <row r="115" spans="1:16" s="3" customFormat="1" ht="36" customHeight="1">
      <c r="A115" s="14">
        <v>2</v>
      </c>
      <c r="B115" s="14">
        <v>8</v>
      </c>
      <c r="C115" s="14">
        <v>3</v>
      </c>
      <c r="D115" s="15" t="s">
        <v>7</v>
      </c>
      <c r="E115" s="14">
        <v>2</v>
      </c>
      <c r="F115" s="16" t="s">
        <v>74</v>
      </c>
      <c r="G115" s="17">
        <v>2177844000</v>
      </c>
      <c r="H115" s="18">
        <f t="shared" si="31"/>
        <v>0.14605916087733664</v>
      </c>
      <c r="I115" s="21">
        <f>Maret!M115</f>
        <v>0</v>
      </c>
      <c r="J115" s="190">
        <f>Maret!N115</f>
        <v>0</v>
      </c>
      <c r="K115" s="21">
        <f>2250000+5601856+150000+1170000+390000+420000+150000+22000+300000+80000+1290000+1800000</f>
        <v>13623856</v>
      </c>
      <c r="L115" s="20">
        <f t="shared" si="32"/>
        <v>0.62556620217058712</v>
      </c>
      <c r="M115" s="21">
        <f t="shared" si="33"/>
        <v>13623856</v>
      </c>
      <c r="N115" s="20">
        <f t="shared" si="34"/>
        <v>0.62556620217058712</v>
      </c>
      <c r="O115" s="22"/>
      <c r="P115" s="21">
        <f t="shared" si="30"/>
        <v>2164220144</v>
      </c>
    </row>
    <row r="116" spans="1:16" s="49" customFormat="1" ht="26.25" customHeight="1">
      <c r="A116" s="36">
        <v>2</v>
      </c>
      <c r="B116" s="36">
        <v>8</v>
      </c>
      <c r="C116" s="36">
        <v>7</v>
      </c>
      <c r="D116" s="37"/>
      <c r="E116" s="36"/>
      <c r="F116" s="38" t="s">
        <v>92</v>
      </c>
      <c r="G116" s="46">
        <f>G117</f>
        <v>182548000</v>
      </c>
      <c r="H116" s="40">
        <f t="shared" si="31"/>
        <v>1.2242753704965118E-2</v>
      </c>
      <c r="I116" s="39">
        <f>Maret!M116</f>
        <v>0</v>
      </c>
      <c r="J116" s="42">
        <f>Maret!N116</f>
        <v>0</v>
      </c>
      <c r="K116" s="46">
        <f>K117</f>
        <v>8832000</v>
      </c>
      <c r="L116" s="43">
        <f t="shared" si="32"/>
        <v>4.8381795472971492</v>
      </c>
      <c r="M116" s="39">
        <f t="shared" si="33"/>
        <v>8832000</v>
      </c>
      <c r="N116" s="43">
        <f t="shared" si="34"/>
        <v>4.8381795472971492</v>
      </c>
      <c r="O116" s="44"/>
      <c r="P116" s="39">
        <f t="shared" si="30"/>
        <v>173716000</v>
      </c>
    </row>
    <row r="117" spans="1:16" s="106" customFormat="1" ht="40.5" customHeight="1">
      <c r="A117" s="5">
        <v>2</v>
      </c>
      <c r="B117" s="5">
        <v>8</v>
      </c>
      <c r="C117" s="5">
        <v>7</v>
      </c>
      <c r="D117" s="6" t="s">
        <v>7</v>
      </c>
      <c r="E117" s="5"/>
      <c r="F117" s="7" t="s">
        <v>1</v>
      </c>
      <c r="G117" s="45">
        <f>G118</f>
        <v>182548000</v>
      </c>
      <c r="H117" s="9">
        <f t="shared" si="31"/>
        <v>1.2242753704965118E-2</v>
      </c>
      <c r="I117" s="8">
        <f>Maret!M117</f>
        <v>0</v>
      </c>
      <c r="J117" s="11">
        <f>Maret!N117</f>
        <v>0</v>
      </c>
      <c r="K117" s="45">
        <f>K118</f>
        <v>8832000</v>
      </c>
      <c r="L117" s="12">
        <f t="shared" si="32"/>
        <v>4.8381795472971492</v>
      </c>
      <c r="M117" s="8">
        <f t="shared" si="33"/>
        <v>8832000</v>
      </c>
      <c r="N117" s="12">
        <f t="shared" si="34"/>
        <v>4.8381795472971492</v>
      </c>
      <c r="O117" s="13"/>
      <c r="P117" s="8">
        <f t="shared" si="30"/>
        <v>173716000</v>
      </c>
    </row>
    <row r="118" spans="1:16" s="3" customFormat="1" ht="30" customHeight="1">
      <c r="A118" s="14">
        <v>2</v>
      </c>
      <c r="B118" s="14">
        <v>8</v>
      </c>
      <c r="C118" s="14">
        <v>7</v>
      </c>
      <c r="D118" s="15" t="s">
        <v>7</v>
      </c>
      <c r="E118" s="14">
        <v>7</v>
      </c>
      <c r="F118" s="166" t="s">
        <v>127</v>
      </c>
      <c r="G118" s="17">
        <v>182548000</v>
      </c>
      <c r="H118" s="18">
        <f t="shared" si="31"/>
        <v>1.2242753704965118E-2</v>
      </c>
      <c r="I118" s="21">
        <f>Maret!M118</f>
        <v>0</v>
      </c>
      <c r="J118" s="190">
        <f>Maret!N118</f>
        <v>0</v>
      </c>
      <c r="K118" s="21">
        <f>750000+300000+90000+30000+360000+120000+90000+30000+60000+42000+300000+300000+1350000+900000+1470000+1290000+1350000</f>
        <v>8832000</v>
      </c>
      <c r="L118" s="20">
        <f t="shared" si="32"/>
        <v>4.8381795472971492</v>
      </c>
      <c r="M118" s="21">
        <f t="shared" si="33"/>
        <v>8832000</v>
      </c>
      <c r="N118" s="20">
        <f t="shared" si="34"/>
        <v>4.8381795472971492</v>
      </c>
      <c r="O118" s="22"/>
      <c r="P118" s="21">
        <f t="shared" si="30"/>
        <v>173716000</v>
      </c>
    </row>
    <row r="119" spans="1:16" s="58" customFormat="1" ht="22.5" customHeight="1">
      <c r="A119" s="50"/>
      <c r="B119" s="50"/>
      <c r="C119" s="50"/>
      <c r="D119" s="51"/>
      <c r="E119" s="52"/>
      <c r="F119" s="53" t="s">
        <v>48</v>
      </c>
      <c r="G119" s="54">
        <f>G16+G55+G61+G67+G72+G76+G83+G89+G95+G98+G105+G113+G116</f>
        <v>14910697740</v>
      </c>
      <c r="H119" s="114">
        <f t="shared" si="31"/>
        <v>1</v>
      </c>
      <c r="I119" s="116">
        <f>Maret!M119</f>
        <v>1868953016</v>
      </c>
      <c r="J119" s="55">
        <f>Maret!N119</f>
        <v>12.53430958489807</v>
      </c>
      <c r="K119" s="54">
        <f>K16+K55+K61+K67+K72+K76+K83+K89+K95+K98+K105+K113+K116</f>
        <v>721598906</v>
      </c>
      <c r="L119" s="56">
        <f t="shared" si="32"/>
        <v>4.8394710870183602</v>
      </c>
      <c r="M119" s="54">
        <f>M16+M55+M61+M67+M72+M76+M83+M89+M95+M98+M105+M113+M116</f>
        <v>2590551922</v>
      </c>
      <c r="N119" s="56">
        <f t="shared" si="34"/>
        <v>17.373780671916432</v>
      </c>
      <c r="O119" s="57"/>
      <c r="P119" s="116">
        <f>G119-M119</f>
        <v>12320145818</v>
      </c>
    </row>
    <row r="120" spans="1:16" s="4" customFormat="1" ht="18" customHeight="1">
      <c r="A120" s="118"/>
      <c r="B120" s="118"/>
      <c r="C120" s="118"/>
      <c r="D120" s="119"/>
      <c r="E120" s="120"/>
      <c r="F120" s="33" t="s">
        <v>95</v>
      </c>
      <c r="G120" s="128">
        <f>G16</f>
        <v>9332143890</v>
      </c>
      <c r="H120" s="122"/>
      <c r="I120" s="121"/>
      <c r="J120" s="123"/>
      <c r="K120" s="121" t="s">
        <v>191</v>
      </c>
      <c r="L120" s="124"/>
      <c r="M120" s="126"/>
      <c r="N120" s="124"/>
      <c r="O120" s="125"/>
      <c r="P120" s="126"/>
    </row>
    <row r="121" spans="1:16" s="4" customFormat="1" ht="15.75" customHeight="1">
      <c r="A121" s="118"/>
      <c r="B121" s="118"/>
      <c r="C121" s="118"/>
      <c r="D121" s="119"/>
      <c r="E121" s="120"/>
      <c r="F121" s="33" t="s">
        <v>96</v>
      </c>
      <c r="G121" s="128">
        <f>G76</f>
        <v>429820700</v>
      </c>
      <c r="H121" s="187"/>
      <c r="I121" s="188"/>
      <c r="J121" s="189"/>
      <c r="K121" s="121"/>
      <c r="L121" s="124"/>
      <c r="M121" s="126"/>
      <c r="N121" s="124"/>
      <c r="O121" s="125"/>
      <c r="P121" s="126"/>
    </row>
    <row r="122" spans="1:16" s="3" customFormat="1">
      <c r="A122" s="77"/>
      <c r="B122" s="78"/>
      <c r="C122" s="78"/>
      <c r="D122" s="31"/>
      <c r="E122" s="32"/>
      <c r="F122" s="127" t="s">
        <v>97</v>
      </c>
      <c r="G122" s="128">
        <f>G83</f>
        <v>690942900</v>
      </c>
      <c r="H122" s="208" t="s">
        <v>133</v>
      </c>
      <c r="I122" s="170">
        <f>K119-I123</f>
        <v>614796681</v>
      </c>
      <c r="J122" s="174"/>
      <c r="K122" s="80"/>
      <c r="L122" s="80"/>
      <c r="M122" s="244" t="s">
        <v>183</v>
      </c>
      <c r="N122" s="244"/>
      <c r="O122" s="244"/>
      <c r="P122" s="80"/>
    </row>
    <row r="123" spans="1:16" s="3" customFormat="1" ht="17.25" customHeight="1">
      <c r="A123" s="32"/>
      <c r="B123" s="82"/>
      <c r="C123" s="78"/>
      <c r="D123" s="83"/>
      <c r="E123" s="80"/>
      <c r="F123" s="178" t="s">
        <v>98</v>
      </c>
      <c r="G123" s="155">
        <f>G61</f>
        <v>389086600</v>
      </c>
      <c r="H123" s="209" t="s">
        <v>187</v>
      </c>
      <c r="I123" s="207">
        <v>106802225</v>
      </c>
      <c r="J123" s="174"/>
      <c r="K123" s="80"/>
      <c r="L123" s="80"/>
      <c r="M123" s="250" t="s">
        <v>139</v>
      </c>
      <c r="N123" s="250"/>
      <c r="O123" s="250"/>
      <c r="P123" s="85" t="s">
        <v>0</v>
      </c>
    </row>
    <row r="124" spans="1:16" s="3" customFormat="1" ht="18" customHeight="1">
      <c r="A124" s="32"/>
      <c r="B124" s="82"/>
      <c r="C124" s="78"/>
      <c r="D124" s="83"/>
      <c r="E124" s="32"/>
      <c r="F124" s="179" t="s">
        <v>99</v>
      </c>
      <c r="G124" s="154">
        <f>G54</f>
        <v>637720000</v>
      </c>
      <c r="H124" s="176"/>
      <c r="I124" s="174"/>
      <c r="J124" s="174"/>
      <c r="K124" s="80"/>
      <c r="L124" s="80"/>
      <c r="M124" s="251"/>
      <c r="N124" s="251"/>
      <c r="O124" s="251"/>
      <c r="P124" s="87"/>
    </row>
    <row r="125" spans="1:16" s="3" customFormat="1">
      <c r="A125" s="1"/>
      <c r="B125" s="88"/>
      <c r="C125" s="89"/>
      <c r="D125" s="90"/>
      <c r="E125" s="1"/>
      <c r="F125" s="180" t="s">
        <v>100</v>
      </c>
      <c r="G125" s="156">
        <f>G89+G95+G98</f>
        <v>753381950</v>
      </c>
      <c r="H125" s="91"/>
      <c r="I125" s="1"/>
      <c r="M125" s="246"/>
      <c r="N125" s="246"/>
      <c r="O125" s="246"/>
    </row>
    <row r="126" spans="1:16" s="3" customFormat="1">
      <c r="A126" s="1"/>
      <c r="B126" s="88"/>
      <c r="C126" s="89"/>
      <c r="D126" s="90"/>
      <c r="E126" s="1"/>
      <c r="F126" s="180" t="s">
        <v>101</v>
      </c>
      <c r="G126" s="157">
        <f>G105+G113+G116</f>
        <v>2677601700</v>
      </c>
      <c r="H126" s="91"/>
      <c r="I126" s="1"/>
      <c r="M126" s="245" t="s">
        <v>194</v>
      </c>
      <c r="N126" s="245"/>
      <c r="O126" s="245"/>
    </row>
    <row r="127" spans="1:16" s="3" customFormat="1" ht="15" customHeight="1">
      <c r="A127" s="1"/>
      <c r="B127" s="88"/>
      <c r="C127" s="89"/>
      <c r="D127" s="90"/>
      <c r="E127" s="1"/>
      <c r="F127" s="181" t="s">
        <v>102</v>
      </c>
      <c r="G127" s="158">
        <f>SUM(G120:G126)</f>
        <v>14910697740</v>
      </c>
      <c r="H127" s="91"/>
      <c r="I127" s="1"/>
      <c r="M127" s="242" t="s">
        <v>196</v>
      </c>
      <c r="N127" s="242"/>
      <c r="O127" s="242"/>
    </row>
    <row r="128" spans="1:16" s="3" customFormat="1" ht="15" customHeight="1">
      <c r="A128" s="1" t="s">
        <v>0</v>
      </c>
      <c r="B128" s="88"/>
      <c r="C128" s="89"/>
      <c r="D128" s="90"/>
      <c r="E128" s="1"/>
      <c r="F128" s="1"/>
      <c r="G128" s="158"/>
      <c r="H128" s="91"/>
      <c r="M128" s="242" t="s">
        <v>195</v>
      </c>
      <c r="N128" s="242"/>
      <c r="O128" s="242"/>
    </row>
    <row r="129" spans="1:8">
      <c r="A129" s="93"/>
      <c r="B129" s="94"/>
      <c r="C129" s="95"/>
      <c r="D129" s="96"/>
      <c r="E129" s="93"/>
      <c r="F129" s="93"/>
      <c r="G129" s="159"/>
      <c r="H129" s="98"/>
    </row>
    <row r="130" spans="1:8">
      <c r="A130" s="93"/>
      <c r="B130" s="94"/>
      <c r="C130" s="95"/>
      <c r="D130" s="96"/>
      <c r="E130" s="93"/>
      <c r="F130" s="93"/>
      <c r="G130" s="97"/>
      <c r="H130" s="98"/>
    </row>
    <row r="131" spans="1:8">
      <c r="A131" s="93"/>
      <c r="B131" s="94"/>
      <c r="C131" s="95"/>
      <c r="D131" s="96"/>
      <c r="E131" s="93"/>
      <c r="F131" s="93"/>
      <c r="G131" s="97"/>
      <c r="H131" s="98"/>
    </row>
  </sheetData>
  <mergeCells count="33">
    <mergeCell ref="A1:P1"/>
    <mergeCell ref="A2:P2"/>
    <mergeCell ref="A3:P3"/>
    <mergeCell ref="A5:E5"/>
    <mergeCell ref="A6:E6"/>
    <mergeCell ref="F6:P6"/>
    <mergeCell ref="A14:E14"/>
    <mergeCell ref="A7:E7"/>
    <mergeCell ref="A8:E8"/>
    <mergeCell ref="A10:E10"/>
    <mergeCell ref="F10:F1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M128:O128"/>
    <mergeCell ref="M122:O122"/>
    <mergeCell ref="M124:O124"/>
    <mergeCell ref="M125:O125"/>
    <mergeCell ref="M126:O126"/>
    <mergeCell ref="M127:O127"/>
    <mergeCell ref="M123:O123"/>
  </mergeCells>
  <pageMargins left="0.7" right="0.7" top="0.75" bottom="0.75" header="0.3" footer="0.3"/>
  <pageSetup paperSize="5" scale="22" orientation="landscape" horizontalDpi="4294967292" verticalDpi="4294967295" r:id="rId1"/>
  <rowBreaks count="1" manualBreakCount="1">
    <brk id="130" max="17" man="1"/>
  </rowBreaks>
</worksheet>
</file>

<file path=xl/worksheets/sheet5.xml><?xml version="1.0" encoding="utf-8"?>
<worksheet xmlns="http://schemas.openxmlformats.org/spreadsheetml/2006/main" xmlns:r="http://schemas.openxmlformats.org/officeDocument/2006/relationships">
  <dimension ref="A1:R131"/>
  <sheetViews>
    <sheetView showGridLines="0" view="pageBreakPreview" topLeftCell="A115" zoomScaleNormal="100" zoomScaleSheetLayoutView="100" workbookViewId="0">
      <selection activeCell="I124" sqref="I124"/>
    </sheetView>
  </sheetViews>
  <sheetFormatPr defaultColWidth="9.140625" defaultRowHeight="15"/>
  <cols>
    <col min="1" max="1" width="2.85546875" style="99" customWidth="1"/>
    <col min="2" max="3" width="2.85546875" style="100" customWidth="1"/>
    <col min="4" max="4" width="4.42578125" style="101" customWidth="1"/>
    <col min="5" max="5" width="3.7109375" style="99" customWidth="1"/>
    <col min="6" max="6" width="68.140625" style="99" customWidth="1"/>
    <col min="7" max="7" width="17.28515625" style="102" customWidth="1"/>
    <col min="8" max="8" width="8.28515625" style="63" customWidth="1"/>
    <col min="9" max="9" width="14" style="64" customWidth="1"/>
    <col min="10" max="10" width="7.7109375" style="64" customWidth="1"/>
    <col min="11" max="11" width="15" style="64" customWidth="1"/>
    <col min="12" max="12" width="8.140625" style="64" customWidth="1"/>
    <col min="13" max="13" width="14.28515625" style="64" customWidth="1"/>
    <col min="14" max="14" width="7.42578125" style="64" customWidth="1"/>
    <col min="15" max="15" width="7.85546875" style="64" customWidth="1"/>
    <col min="16" max="16" width="15.8554687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86</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60"/>
      <c r="B4" s="60"/>
      <c r="C4" s="60"/>
      <c r="D4" s="61"/>
      <c r="E4" s="60"/>
      <c r="F4" s="60"/>
      <c r="G4" s="62"/>
    </row>
    <row r="5" spans="1:17" ht="15" customHeight="1">
      <c r="A5" s="267" t="s">
        <v>113</v>
      </c>
      <c r="B5" s="257"/>
      <c r="C5" s="257"/>
      <c r="D5" s="257"/>
      <c r="E5" s="257"/>
      <c r="F5" s="65" t="s">
        <v>44</v>
      </c>
      <c r="G5" s="66"/>
      <c r="H5" s="66"/>
      <c r="I5" s="66"/>
      <c r="J5" s="66"/>
      <c r="K5" s="66"/>
      <c r="L5" s="66"/>
      <c r="M5" s="66"/>
      <c r="N5" s="66"/>
      <c r="O5" s="66"/>
      <c r="P5" s="66"/>
    </row>
    <row r="6" spans="1:17" ht="15" customHeight="1">
      <c r="A6" s="267" t="s">
        <v>112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04" t="s">
        <v>45</v>
      </c>
      <c r="G7" s="68"/>
      <c r="H7" s="69"/>
      <c r="I7" s="70"/>
      <c r="J7" s="70"/>
      <c r="K7" s="70"/>
      <c r="L7" s="70"/>
      <c r="M7" s="70"/>
      <c r="N7" s="70"/>
      <c r="O7" s="70"/>
      <c r="P7" s="70"/>
    </row>
    <row r="8" spans="1:17" ht="15" customHeight="1">
      <c r="A8" s="257" t="s">
        <v>40</v>
      </c>
      <c r="B8" s="257"/>
      <c r="C8" s="257"/>
      <c r="D8" s="257"/>
      <c r="E8" s="257"/>
      <c r="F8" s="204" t="s">
        <v>189</v>
      </c>
      <c r="G8" s="68"/>
      <c r="H8" s="69"/>
      <c r="I8" s="70"/>
      <c r="J8" s="70"/>
      <c r="K8" s="70"/>
      <c r="L8" s="70"/>
      <c r="M8" s="70"/>
      <c r="N8" s="70"/>
      <c r="O8" s="70"/>
      <c r="P8" s="70"/>
    </row>
    <row r="9" spans="1:17" ht="15" customHeight="1">
      <c r="A9" s="71"/>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135</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06" t="s">
        <v>30</v>
      </c>
      <c r="P12" s="252"/>
      <c r="Q12" s="74"/>
    </row>
    <row r="13" spans="1:17" ht="15" customHeight="1">
      <c r="A13" s="255"/>
      <c r="B13" s="255"/>
      <c r="C13" s="255"/>
      <c r="D13" s="255"/>
      <c r="E13" s="255"/>
      <c r="F13" s="263"/>
      <c r="G13" s="252"/>
      <c r="H13" s="256"/>
      <c r="I13" s="206" t="s">
        <v>29</v>
      </c>
      <c r="J13" s="206" t="s">
        <v>28</v>
      </c>
      <c r="K13" s="206" t="s">
        <v>29</v>
      </c>
      <c r="L13" s="206" t="s">
        <v>28</v>
      </c>
      <c r="M13" s="206" t="s">
        <v>29</v>
      </c>
      <c r="N13" s="206" t="s">
        <v>28</v>
      </c>
      <c r="O13" s="206" t="s">
        <v>28</v>
      </c>
      <c r="P13" s="252"/>
      <c r="Q13" s="74"/>
    </row>
    <row r="14" spans="1:17" s="75" customFormat="1" ht="15" customHeight="1">
      <c r="A14" s="247">
        <v>1</v>
      </c>
      <c r="B14" s="248"/>
      <c r="C14" s="248"/>
      <c r="D14" s="248"/>
      <c r="E14" s="249"/>
      <c r="F14" s="110">
        <v>2</v>
      </c>
      <c r="G14" s="111">
        <v>3</v>
      </c>
      <c r="H14" s="112">
        <v>4</v>
      </c>
      <c r="I14" s="113">
        <v>5</v>
      </c>
      <c r="J14" s="113">
        <v>6</v>
      </c>
      <c r="K14" s="113">
        <v>8</v>
      </c>
      <c r="L14" s="113">
        <v>9</v>
      </c>
      <c r="M14" s="113">
        <v>11</v>
      </c>
      <c r="N14" s="113">
        <v>12</v>
      </c>
      <c r="O14" s="113">
        <v>13</v>
      </c>
      <c r="P14" s="113">
        <v>14</v>
      </c>
    </row>
    <row r="15" spans="1:17" s="152" customFormat="1" ht="30" customHeight="1">
      <c r="A15" s="147"/>
      <c r="B15" s="148"/>
      <c r="C15" s="148"/>
      <c r="D15" s="148"/>
      <c r="E15" s="149"/>
      <c r="F15" s="140" t="s">
        <v>107</v>
      </c>
      <c r="G15" s="153">
        <f>G16</f>
        <v>9332143890</v>
      </c>
      <c r="H15" s="150"/>
      <c r="I15" s="151"/>
      <c r="J15" s="151"/>
      <c r="K15" s="151"/>
      <c r="L15" s="151"/>
      <c r="M15" s="151"/>
      <c r="N15" s="151"/>
      <c r="O15" s="151"/>
      <c r="P15" s="151"/>
    </row>
    <row r="16" spans="1:17" s="4" customFormat="1" ht="22.5" customHeight="1">
      <c r="A16" s="36">
        <v>2</v>
      </c>
      <c r="B16" s="36">
        <v>8</v>
      </c>
      <c r="C16" s="36">
        <v>1</v>
      </c>
      <c r="D16" s="37"/>
      <c r="E16" s="36"/>
      <c r="F16" s="38" t="s">
        <v>93</v>
      </c>
      <c r="G16" s="39">
        <f>G17+G25+G29+G33+G41+G45+G50</f>
        <v>9332143890</v>
      </c>
      <c r="H16" s="40">
        <f t="shared" ref="H16:H53" si="0">+G16/$G$119*100%</f>
        <v>0.62586902723976756</v>
      </c>
      <c r="I16" s="39">
        <f>April!M16</f>
        <v>2388982495</v>
      </c>
      <c r="J16" s="42">
        <f>April!N16</f>
        <v>25.599503427716652</v>
      </c>
      <c r="K16" s="39">
        <f>K17+K25+K29+K33+K45+K50</f>
        <v>314162690</v>
      </c>
      <c r="L16" s="43">
        <f t="shared" ref="L16:L29" si="1">K16/G16*100</f>
        <v>3.3664578440185196</v>
      </c>
      <c r="M16" s="39">
        <f t="shared" ref="M16:M29" si="2">I16+K16</f>
        <v>2703145185</v>
      </c>
      <c r="N16" s="43">
        <f t="shared" ref="N16:N29" si="3">M16/G16*100</f>
        <v>28.965961271735168</v>
      </c>
      <c r="O16" s="44"/>
      <c r="P16" s="39">
        <f t="shared" ref="P16:P29" si="4">G16-M16</f>
        <v>6628998705</v>
      </c>
    </row>
    <row r="17" spans="1:18" s="106" customFormat="1" ht="22.5" customHeight="1">
      <c r="A17" s="5">
        <v>2</v>
      </c>
      <c r="B17" s="5">
        <v>8</v>
      </c>
      <c r="C17" s="5">
        <v>1</v>
      </c>
      <c r="D17" s="6" t="s">
        <v>8</v>
      </c>
      <c r="E17" s="5"/>
      <c r="F17" s="7" t="s">
        <v>27</v>
      </c>
      <c r="G17" s="45">
        <f>SUM(G18:G24)</f>
        <v>41406100</v>
      </c>
      <c r="H17" s="9">
        <f t="shared" si="0"/>
        <v>2.7769391293421793E-3</v>
      </c>
      <c r="I17" s="8">
        <f>April!M17</f>
        <v>0</v>
      </c>
      <c r="J17" s="11">
        <f>April!N17</f>
        <v>0</v>
      </c>
      <c r="K17" s="45">
        <f>SUM(K18:K24)</f>
        <v>0</v>
      </c>
      <c r="L17" s="12">
        <f t="shared" si="1"/>
        <v>0</v>
      </c>
      <c r="M17" s="8">
        <f t="shared" si="2"/>
        <v>0</v>
      </c>
      <c r="N17" s="12">
        <f t="shared" si="3"/>
        <v>0</v>
      </c>
      <c r="O17" s="13"/>
      <c r="P17" s="8">
        <f t="shared" si="4"/>
        <v>41406100</v>
      </c>
      <c r="R17" s="107"/>
    </row>
    <row r="18" spans="1:18" s="3" customFormat="1" ht="22.5" customHeight="1">
      <c r="A18" s="14">
        <v>2</v>
      </c>
      <c r="B18" s="14">
        <v>8</v>
      </c>
      <c r="C18" s="14">
        <v>1</v>
      </c>
      <c r="D18" s="15" t="s">
        <v>8</v>
      </c>
      <c r="E18" s="14">
        <v>1</v>
      </c>
      <c r="F18" s="16" t="s">
        <v>49</v>
      </c>
      <c r="G18" s="17">
        <v>7249700</v>
      </c>
      <c r="H18" s="18">
        <f t="shared" si="0"/>
        <v>4.8620796467167875E-4</v>
      </c>
      <c r="I18" s="21">
        <f>April!M18</f>
        <v>0</v>
      </c>
      <c r="J18" s="190">
        <f>April!N18</f>
        <v>0</v>
      </c>
      <c r="K18" s="21">
        <v>0</v>
      </c>
      <c r="L18" s="20">
        <f t="shared" si="1"/>
        <v>0</v>
      </c>
      <c r="M18" s="30">
        <f t="shared" si="2"/>
        <v>0</v>
      </c>
      <c r="N18" s="29">
        <f t="shared" si="3"/>
        <v>0</v>
      </c>
      <c r="O18" s="22"/>
      <c r="P18" s="21">
        <f t="shared" si="4"/>
        <v>7249700</v>
      </c>
      <c r="R18" s="76"/>
    </row>
    <row r="19" spans="1:18" s="3" customFormat="1" ht="22.5" customHeight="1">
      <c r="A19" s="14">
        <v>2</v>
      </c>
      <c r="B19" s="14">
        <v>8</v>
      </c>
      <c r="C19" s="14">
        <v>1</v>
      </c>
      <c r="D19" s="15" t="s">
        <v>8</v>
      </c>
      <c r="E19" s="14">
        <v>2</v>
      </c>
      <c r="F19" s="16" t="s">
        <v>50</v>
      </c>
      <c r="G19" s="17">
        <v>6750400</v>
      </c>
      <c r="H19" s="18">
        <f t="shared" si="0"/>
        <v>4.5272193948986856E-4</v>
      </c>
      <c r="I19" s="21">
        <f>April!M19</f>
        <v>0</v>
      </c>
      <c r="J19" s="190">
        <f>April!N19</f>
        <v>0</v>
      </c>
      <c r="K19" s="21">
        <v>0</v>
      </c>
      <c r="L19" s="20">
        <f t="shared" si="1"/>
        <v>0</v>
      </c>
      <c r="M19" s="30">
        <f t="shared" si="2"/>
        <v>0</v>
      </c>
      <c r="N19" s="29">
        <f t="shared" si="3"/>
        <v>0</v>
      </c>
      <c r="O19" s="22"/>
      <c r="P19" s="21">
        <f t="shared" si="4"/>
        <v>6750400</v>
      </c>
      <c r="R19" s="76"/>
    </row>
    <row r="20" spans="1:18" s="3" customFormat="1" ht="22.5" customHeight="1">
      <c r="A20" s="14">
        <v>2</v>
      </c>
      <c r="B20" s="14">
        <v>8</v>
      </c>
      <c r="C20" s="14">
        <v>1</v>
      </c>
      <c r="D20" s="15" t="s">
        <v>8</v>
      </c>
      <c r="E20" s="14">
        <v>3</v>
      </c>
      <c r="F20" s="16" t="s">
        <v>51</v>
      </c>
      <c r="G20" s="17">
        <v>8800000</v>
      </c>
      <c r="H20" s="18">
        <f t="shared" si="0"/>
        <v>5.9018029561371823E-4</v>
      </c>
      <c r="I20" s="21">
        <f>April!M20</f>
        <v>0</v>
      </c>
      <c r="J20" s="190">
        <f>April!N20</f>
        <v>0</v>
      </c>
      <c r="K20" s="21">
        <v>0</v>
      </c>
      <c r="L20" s="20">
        <f t="shared" si="1"/>
        <v>0</v>
      </c>
      <c r="M20" s="30">
        <f t="shared" si="2"/>
        <v>0</v>
      </c>
      <c r="N20" s="29">
        <f t="shared" si="3"/>
        <v>0</v>
      </c>
      <c r="O20" s="22"/>
      <c r="P20" s="21">
        <f t="shared" si="4"/>
        <v>8800000</v>
      </c>
      <c r="R20" s="76"/>
    </row>
    <row r="21" spans="1:18" s="3" customFormat="1" ht="22.5" customHeight="1">
      <c r="A21" s="14">
        <v>2</v>
      </c>
      <c r="B21" s="14">
        <v>8</v>
      </c>
      <c r="C21" s="14">
        <v>1</v>
      </c>
      <c r="D21" s="15" t="s">
        <v>8</v>
      </c>
      <c r="E21" s="14">
        <v>4</v>
      </c>
      <c r="F21" s="16" t="s">
        <v>52</v>
      </c>
      <c r="G21" s="17">
        <v>2545000</v>
      </c>
      <c r="H21" s="18">
        <f t="shared" si="0"/>
        <v>1.7068282412919465E-4</v>
      </c>
      <c r="I21" s="21">
        <f>April!M21</f>
        <v>0</v>
      </c>
      <c r="J21" s="190">
        <f>April!N21</f>
        <v>0</v>
      </c>
      <c r="K21" s="21">
        <v>0</v>
      </c>
      <c r="L21" s="20">
        <f t="shared" si="1"/>
        <v>0</v>
      </c>
      <c r="M21" s="30">
        <f t="shared" si="2"/>
        <v>0</v>
      </c>
      <c r="N21" s="29">
        <f t="shared" si="3"/>
        <v>0</v>
      </c>
      <c r="O21" s="22"/>
      <c r="P21" s="21">
        <f t="shared" si="4"/>
        <v>2545000</v>
      </c>
      <c r="R21" s="76"/>
    </row>
    <row r="22" spans="1:18" s="3" customFormat="1" ht="22.5" customHeight="1">
      <c r="A22" s="14">
        <v>2</v>
      </c>
      <c r="B22" s="14">
        <v>8</v>
      </c>
      <c r="C22" s="14">
        <v>1</v>
      </c>
      <c r="D22" s="15" t="s">
        <v>8</v>
      </c>
      <c r="E22" s="14">
        <v>5</v>
      </c>
      <c r="F22" s="16" t="s">
        <v>53</v>
      </c>
      <c r="G22" s="17">
        <v>2675000</v>
      </c>
      <c r="H22" s="18">
        <f t="shared" si="0"/>
        <v>1.7940139667803367E-4</v>
      </c>
      <c r="I22" s="21">
        <f>April!M22</f>
        <v>0</v>
      </c>
      <c r="J22" s="190">
        <f>April!N22</f>
        <v>0</v>
      </c>
      <c r="K22" s="21">
        <v>0</v>
      </c>
      <c r="L22" s="20">
        <f t="shared" si="1"/>
        <v>0</v>
      </c>
      <c r="M22" s="30">
        <f t="shared" si="2"/>
        <v>0</v>
      </c>
      <c r="N22" s="29">
        <f t="shared" si="3"/>
        <v>0</v>
      </c>
      <c r="O22" s="22"/>
      <c r="P22" s="21">
        <f t="shared" si="4"/>
        <v>2675000</v>
      </c>
      <c r="R22" s="76"/>
    </row>
    <row r="23" spans="1:18" s="3" customFormat="1" ht="31.5" customHeight="1">
      <c r="A23" s="14">
        <v>2</v>
      </c>
      <c r="B23" s="14">
        <v>8</v>
      </c>
      <c r="C23" s="14">
        <v>1</v>
      </c>
      <c r="D23" s="15" t="s">
        <v>8</v>
      </c>
      <c r="E23" s="14">
        <v>6</v>
      </c>
      <c r="F23" s="16" t="s">
        <v>54</v>
      </c>
      <c r="G23" s="17">
        <v>6851000</v>
      </c>
      <c r="H23" s="18">
        <f t="shared" si="0"/>
        <v>4.5946877332381632E-4</v>
      </c>
      <c r="I23" s="21">
        <f>April!M23</f>
        <v>0</v>
      </c>
      <c r="J23" s="190">
        <f>April!N23</f>
        <v>0</v>
      </c>
      <c r="K23" s="21">
        <v>0</v>
      </c>
      <c r="L23" s="20">
        <f t="shared" si="1"/>
        <v>0</v>
      </c>
      <c r="M23" s="30">
        <f t="shared" si="2"/>
        <v>0</v>
      </c>
      <c r="N23" s="29">
        <f t="shared" si="3"/>
        <v>0</v>
      </c>
      <c r="O23" s="22"/>
      <c r="P23" s="21">
        <f t="shared" si="4"/>
        <v>6851000</v>
      </c>
      <c r="R23" s="76"/>
    </row>
    <row r="24" spans="1:18" s="3" customFormat="1" ht="22.5" customHeight="1">
      <c r="A24" s="14">
        <v>2</v>
      </c>
      <c r="B24" s="14">
        <v>8</v>
      </c>
      <c r="C24" s="14">
        <v>1</v>
      </c>
      <c r="D24" s="15" t="s">
        <v>8</v>
      </c>
      <c r="E24" s="14">
        <v>7</v>
      </c>
      <c r="F24" s="16" t="s">
        <v>55</v>
      </c>
      <c r="G24" s="17">
        <v>6535000</v>
      </c>
      <c r="H24" s="18">
        <f t="shared" si="0"/>
        <v>4.3827593543586913E-4</v>
      </c>
      <c r="I24" s="21">
        <f>April!M24</f>
        <v>0</v>
      </c>
      <c r="J24" s="190">
        <f>April!N24</f>
        <v>0</v>
      </c>
      <c r="K24" s="21">
        <v>0</v>
      </c>
      <c r="L24" s="20">
        <f t="shared" si="1"/>
        <v>0</v>
      </c>
      <c r="M24" s="30">
        <f t="shared" si="2"/>
        <v>0</v>
      </c>
      <c r="N24" s="29">
        <f t="shared" si="3"/>
        <v>0</v>
      </c>
      <c r="O24" s="22"/>
      <c r="P24" s="21">
        <f t="shared" si="4"/>
        <v>6535000</v>
      </c>
      <c r="R24" s="76"/>
    </row>
    <row r="25" spans="1:18" s="106" customFormat="1" ht="22.5" customHeight="1">
      <c r="A25" s="5">
        <v>2</v>
      </c>
      <c r="B25" s="5">
        <v>8</v>
      </c>
      <c r="C25" s="5">
        <v>1</v>
      </c>
      <c r="D25" s="6" t="s">
        <v>7</v>
      </c>
      <c r="E25" s="5"/>
      <c r="F25" s="7" t="s">
        <v>26</v>
      </c>
      <c r="G25" s="45">
        <f>SUM(G26:G28)</f>
        <v>7153137563</v>
      </c>
      <c r="H25" s="9">
        <f t="shared" si="0"/>
        <v>0.47973191380646951</v>
      </c>
      <c r="I25" s="8">
        <f>April!M25</f>
        <v>2190383394</v>
      </c>
      <c r="J25" s="11">
        <f>April!N25</f>
        <v>30.621295546305156</v>
      </c>
      <c r="K25" s="45">
        <f>SUM(K26:K28)</f>
        <v>289791190</v>
      </c>
      <c r="L25" s="12">
        <f t="shared" si="1"/>
        <v>4.0512458686515549</v>
      </c>
      <c r="M25" s="8">
        <f t="shared" si="2"/>
        <v>2480174584</v>
      </c>
      <c r="N25" s="12">
        <f t="shared" si="3"/>
        <v>34.672541414956711</v>
      </c>
      <c r="O25" s="13"/>
      <c r="P25" s="8">
        <f t="shared" si="4"/>
        <v>4672962979</v>
      </c>
    </row>
    <row r="26" spans="1:18" s="3" customFormat="1" ht="22.5" customHeight="1">
      <c r="A26" s="14">
        <v>2</v>
      </c>
      <c r="B26" s="14">
        <v>8</v>
      </c>
      <c r="C26" s="14">
        <v>1</v>
      </c>
      <c r="D26" s="15" t="s">
        <v>7</v>
      </c>
      <c r="E26" s="14">
        <v>1</v>
      </c>
      <c r="F26" s="16" t="s">
        <v>56</v>
      </c>
      <c r="G26" s="17">
        <v>7089489563</v>
      </c>
      <c r="H26" s="18">
        <f t="shared" si="0"/>
        <v>0.47546330068655795</v>
      </c>
      <c r="I26" s="21">
        <f>April!M26</f>
        <v>2182487394</v>
      </c>
      <c r="J26" s="190">
        <f>April!N26</f>
        <v>30.784831187147628</v>
      </c>
      <c r="K26" s="21">
        <f>277144173+4172017</f>
        <v>281316190</v>
      </c>
      <c r="L26" s="20">
        <f t="shared" si="1"/>
        <v>3.9680739706309374</v>
      </c>
      <c r="M26" s="21">
        <f t="shared" si="2"/>
        <v>2463803584</v>
      </c>
      <c r="N26" s="20">
        <f t="shared" si="3"/>
        <v>34.752905157778564</v>
      </c>
      <c r="O26" s="22"/>
      <c r="P26" s="21">
        <f t="shared" si="4"/>
        <v>4625685979</v>
      </c>
    </row>
    <row r="27" spans="1:18" s="3" customFormat="1" ht="22.5" customHeight="1">
      <c r="A27" s="14">
        <v>2</v>
      </c>
      <c r="B27" s="14">
        <v>8</v>
      </c>
      <c r="C27" s="14">
        <v>1</v>
      </c>
      <c r="D27" s="15" t="s">
        <v>7</v>
      </c>
      <c r="E27" s="14">
        <v>2</v>
      </c>
      <c r="F27" s="16" t="s">
        <v>57</v>
      </c>
      <c r="G27" s="17">
        <v>57247000</v>
      </c>
      <c r="H27" s="18">
        <f t="shared" si="0"/>
        <v>3.8393240207952872E-3</v>
      </c>
      <c r="I27" s="21">
        <f>April!M27</f>
        <v>5145000</v>
      </c>
      <c r="J27" s="190">
        <f>April!N27</f>
        <v>8.9873705172323444</v>
      </c>
      <c r="K27" s="21">
        <f>1090000+625000+4040000+2720000</f>
        <v>8475000</v>
      </c>
      <c r="L27" s="20">
        <f t="shared" si="1"/>
        <v>14.804269219347738</v>
      </c>
      <c r="M27" s="21">
        <f t="shared" si="2"/>
        <v>13620000</v>
      </c>
      <c r="N27" s="20">
        <f t="shared" si="3"/>
        <v>23.791639736580084</v>
      </c>
      <c r="O27" s="22"/>
      <c r="P27" s="21">
        <f t="shared" si="4"/>
        <v>43627000</v>
      </c>
    </row>
    <row r="28" spans="1:18" s="3" customFormat="1" ht="22.5" customHeight="1">
      <c r="A28" s="14">
        <v>2</v>
      </c>
      <c r="B28" s="14">
        <v>8</v>
      </c>
      <c r="C28" s="14">
        <v>1</v>
      </c>
      <c r="D28" s="15" t="s">
        <v>7</v>
      </c>
      <c r="E28" s="14">
        <v>5</v>
      </c>
      <c r="F28" s="16" t="s">
        <v>58</v>
      </c>
      <c r="G28" s="17">
        <v>6401000</v>
      </c>
      <c r="H28" s="18">
        <f t="shared" si="0"/>
        <v>4.2928909911629662E-4</v>
      </c>
      <c r="I28" s="21">
        <f>April!M28</f>
        <v>2751000</v>
      </c>
      <c r="J28" s="190">
        <f>April!N28</f>
        <v>42.977659740665516</v>
      </c>
      <c r="K28" s="21"/>
      <c r="L28" s="20">
        <f t="shared" si="1"/>
        <v>0</v>
      </c>
      <c r="M28" s="21">
        <f t="shared" si="2"/>
        <v>2751000</v>
      </c>
      <c r="N28" s="20">
        <f t="shared" si="3"/>
        <v>42.977659740665516</v>
      </c>
      <c r="O28" s="22"/>
      <c r="P28" s="21">
        <f t="shared" si="4"/>
        <v>3650000</v>
      </c>
    </row>
    <row r="29" spans="1:18" s="35" customFormat="1" ht="22.5" customHeight="1">
      <c r="A29" s="5">
        <v>2</v>
      </c>
      <c r="B29" s="5">
        <v>8</v>
      </c>
      <c r="C29" s="5">
        <v>1</v>
      </c>
      <c r="D29" s="6" t="s">
        <v>14</v>
      </c>
      <c r="E29" s="5"/>
      <c r="F29" s="7" t="s">
        <v>25</v>
      </c>
      <c r="G29" s="45">
        <f>SUM(G30:G32)</f>
        <v>13830000</v>
      </c>
      <c r="H29" s="9">
        <f t="shared" si="0"/>
        <v>9.2752198731110489E-4</v>
      </c>
      <c r="I29" s="8">
        <f>April!M29</f>
        <v>2550000</v>
      </c>
      <c r="J29" s="11">
        <f>April!N29</f>
        <v>18.43817787418655</v>
      </c>
      <c r="K29" s="45">
        <f>K32</f>
        <v>850000</v>
      </c>
      <c r="L29" s="108">
        <f t="shared" si="1"/>
        <v>6.1460592913955168</v>
      </c>
      <c r="M29" s="8">
        <f t="shared" si="2"/>
        <v>3400000</v>
      </c>
      <c r="N29" s="12">
        <f t="shared" si="3"/>
        <v>24.584237165582067</v>
      </c>
      <c r="O29" s="13"/>
      <c r="P29" s="8">
        <f t="shared" si="4"/>
        <v>10430000</v>
      </c>
    </row>
    <row r="30" spans="1:18" s="35" customFormat="1" ht="22.5" customHeight="1">
      <c r="A30" s="14">
        <v>2</v>
      </c>
      <c r="B30" s="14">
        <v>8</v>
      </c>
      <c r="C30" s="14">
        <v>1</v>
      </c>
      <c r="D30" s="15" t="s">
        <v>14</v>
      </c>
      <c r="E30" s="14">
        <v>1</v>
      </c>
      <c r="F30" s="166" t="s">
        <v>114</v>
      </c>
      <c r="G30" s="17">
        <v>1045000</v>
      </c>
      <c r="H30" s="18">
        <f t="shared" si="0"/>
        <v>7.0083910104129035E-5</v>
      </c>
      <c r="I30" s="21">
        <f>April!M30</f>
        <v>0</v>
      </c>
      <c r="J30" s="190">
        <f>April!N30</f>
        <v>0</v>
      </c>
      <c r="K30" s="164"/>
      <c r="L30" s="20"/>
      <c r="M30" s="30"/>
      <c r="N30" s="29"/>
      <c r="O30" s="165"/>
      <c r="P30" s="30"/>
    </row>
    <row r="31" spans="1:18" s="35" customFormat="1" ht="22.5" customHeight="1">
      <c r="A31" s="14">
        <v>2</v>
      </c>
      <c r="B31" s="14">
        <v>8</v>
      </c>
      <c r="C31" s="14">
        <v>1</v>
      </c>
      <c r="D31" s="15" t="s">
        <v>14</v>
      </c>
      <c r="E31" s="14">
        <v>5</v>
      </c>
      <c r="F31" s="166" t="s">
        <v>115</v>
      </c>
      <c r="G31" s="17">
        <v>1100000</v>
      </c>
      <c r="H31" s="18">
        <f t="shared" si="0"/>
        <v>7.3772536951714778E-5</v>
      </c>
      <c r="I31" s="21">
        <f>April!M31</f>
        <v>0</v>
      </c>
      <c r="J31" s="190">
        <f>April!N31</f>
        <v>0</v>
      </c>
      <c r="K31" s="164"/>
      <c r="L31" s="20"/>
      <c r="M31" s="30"/>
      <c r="N31" s="29"/>
      <c r="O31" s="165"/>
      <c r="P31" s="30"/>
    </row>
    <row r="32" spans="1:18" s="3" customFormat="1" ht="22.5" customHeight="1">
      <c r="A32" s="14">
        <v>2</v>
      </c>
      <c r="B32" s="14">
        <v>8</v>
      </c>
      <c r="C32" s="14">
        <v>1</v>
      </c>
      <c r="D32" s="15" t="s">
        <v>14</v>
      </c>
      <c r="E32" s="14">
        <v>6</v>
      </c>
      <c r="F32" s="16" t="s">
        <v>59</v>
      </c>
      <c r="G32" s="17">
        <v>11685000</v>
      </c>
      <c r="H32" s="18">
        <f t="shared" si="0"/>
        <v>7.83665540255261E-4</v>
      </c>
      <c r="I32" s="21">
        <f>April!M32</f>
        <v>2550000</v>
      </c>
      <c r="J32" s="190">
        <f>April!N32</f>
        <v>21.822849807445444</v>
      </c>
      <c r="K32" s="21">
        <f>850000</f>
        <v>850000</v>
      </c>
      <c r="L32" s="20">
        <f t="shared" ref="L32:L38" si="5">K32/G32*100</f>
        <v>7.2742832691484809</v>
      </c>
      <c r="M32" s="21">
        <f t="shared" ref="M32:M38" si="6">I32+K32</f>
        <v>3400000</v>
      </c>
      <c r="N32" s="20">
        <f t="shared" ref="N32:N38" si="7">M32/G32*100</f>
        <v>29.097133076593924</v>
      </c>
      <c r="O32" s="22"/>
      <c r="P32" s="21">
        <f t="shared" ref="P32:P38" si="8">G32-M32</f>
        <v>8285000</v>
      </c>
    </row>
    <row r="33" spans="1:16" s="106" customFormat="1" ht="22.5" customHeight="1">
      <c r="A33" s="5">
        <v>2</v>
      </c>
      <c r="B33" s="5">
        <v>8</v>
      </c>
      <c r="C33" s="5">
        <v>1</v>
      </c>
      <c r="D33" s="6" t="s">
        <v>24</v>
      </c>
      <c r="E33" s="5"/>
      <c r="F33" s="7" t="s">
        <v>4</v>
      </c>
      <c r="G33" s="45">
        <f>SUM(G34:G40)</f>
        <v>861641250</v>
      </c>
      <c r="H33" s="9">
        <f t="shared" si="0"/>
        <v>5.7786782686133374E-2</v>
      </c>
      <c r="I33" s="8">
        <f>April!M33</f>
        <v>52854668</v>
      </c>
      <c r="J33" s="11">
        <f>April!N33</f>
        <v>6.1341849638698234</v>
      </c>
      <c r="K33" s="45">
        <f>SUM(K34:K40)</f>
        <v>0</v>
      </c>
      <c r="L33" s="108">
        <f t="shared" si="5"/>
        <v>0</v>
      </c>
      <c r="M33" s="8">
        <f>I33+K33</f>
        <v>52854668</v>
      </c>
      <c r="N33" s="12">
        <f t="shared" si="7"/>
        <v>6.1341849638698234</v>
      </c>
      <c r="O33" s="13"/>
      <c r="P33" s="8">
        <f t="shared" si="8"/>
        <v>808786582</v>
      </c>
    </row>
    <row r="34" spans="1:16" s="3" customFormat="1" ht="22.5" customHeight="1">
      <c r="A34" s="14">
        <v>2</v>
      </c>
      <c r="B34" s="14">
        <v>8</v>
      </c>
      <c r="C34" s="14">
        <v>1</v>
      </c>
      <c r="D34" s="15" t="s">
        <v>24</v>
      </c>
      <c r="E34" s="14">
        <v>1</v>
      </c>
      <c r="F34" s="16" t="s">
        <v>60</v>
      </c>
      <c r="G34" s="17">
        <v>7066000</v>
      </c>
      <c r="H34" s="18">
        <f t="shared" si="0"/>
        <v>4.7388795100074239E-4</v>
      </c>
      <c r="I34" s="21">
        <f>April!M34</f>
        <v>2775500</v>
      </c>
      <c r="J34" s="190">
        <f>April!N34</f>
        <v>39.27964902349278</v>
      </c>
      <c r="K34" s="21"/>
      <c r="L34" s="20">
        <f t="shared" si="5"/>
        <v>0</v>
      </c>
      <c r="M34" s="21">
        <f t="shared" si="6"/>
        <v>2775500</v>
      </c>
      <c r="N34" s="20">
        <f t="shared" si="7"/>
        <v>39.27964902349278</v>
      </c>
      <c r="O34" s="22"/>
      <c r="P34" s="21">
        <f t="shared" si="8"/>
        <v>4290500</v>
      </c>
    </row>
    <row r="35" spans="1:16" s="3" customFormat="1" ht="22.5" customHeight="1">
      <c r="A35" s="14">
        <v>2</v>
      </c>
      <c r="B35" s="14">
        <v>8</v>
      </c>
      <c r="C35" s="14">
        <v>1</v>
      </c>
      <c r="D35" s="15" t="s">
        <v>24</v>
      </c>
      <c r="E35" s="14">
        <v>2</v>
      </c>
      <c r="F35" s="16" t="s">
        <v>61</v>
      </c>
      <c r="G35" s="17">
        <v>60937700</v>
      </c>
      <c r="H35" s="18">
        <f t="shared" si="0"/>
        <v>4.0868442954568266E-3</v>
      </c>
      <c r="I35" s="21">
        <f>April!M35</f>
        <v>10526750</v>
      </c>
      <c r="J35" s="190">
        <f>April!N35</f>
        <v>17.274609970510866</v>
      </c>
      <c r="K35" s="21"/>
      <c r="L35" s="20">
        <f t="shared" si="5"/>
        <v>0</v>
      </c>
      <c r="M35" s="21">
        <f t="shared" si="6"/>
        <v>10526750</v>
      </c>
      <c r="N35" s="20">
        <f t="shared" si="7"/>
        <v>17.274609970510866</v>
      </c>
      <c r="O35" s="22"/>
      <c r="P35" s="21">
        <f t="shared" si="8"/>
        <v>50410950</v>
      </c>
    </row>
    <row r="36" spans="1:16" s="3" customFormat="1" ht="22.5" customHeight="1">
      <c r="A36" s="14">
        <v>2</v>
      </c>
      <c r="B36" s="14">
        <v>8</v>
      </c>
      <c r="C36" s="14">
        <v>1</v>
      </c>
      <c r="D36" s="15" t="s">
        <v>24</v>
      </c>
      <c r="E36" s="14">
        <v>5</v>
      </c>
      <c r="F36" s="16" t="s">
        <v>62</v>
      </c>
      <c r="G36" s="17">
        <v>15300000</v>
      </c>
      <c r="H36" s="18">
        <f t="shared" si="0"/>
        <v>1.0261089230556692E-3</v>
      </c>
      <c r="I36" s="21">
        <f>April!M36</f>
        <v>900000</v>
      </c>
      <c r="J36" s="190">
        <f>April!N36</f>
        <v>5.8823529411764701</v>
      </c>
      <c r="K36" s="21"/>
      <c r="L36" s="20">
        <f t="shared" si="5"/>
        <v>0</v>
      </c>
      <c r="M36" s="21">
        <f t="shared" si="6"/>
        <v>900000</v>
      </c>
      <c r="N36" s="20">
        <f t="shared" si="7"/>
        <v>5.8823529411764701</v>
      </c>
      <c r="O36" s="22"/>
      <c r="P36" s="21">
        <f t="shared" si="8"/>
        <v>14400000</v>
      </c>
    </row>
    <row r="37" spans="1:16" s="3" customFormat="1" ht="22.5" customHeight="1">
      <c r="A37" s="14">
        <v>2</v>
      </c>
      <c r="B37" s="14">
        <v>8</v>
      </c>
      <c r="C37" s="14">
        <v>1</v>
      </c>
      <c r="D37" s="15" t="s">
        <v>24</v>
      </c>
      <c r="E37" s="14">
        <v>6</v>
      </c>
      <c r="F37" s="16" t="s">
        <v>63</v>
      </c>
      <c r="G37" s="17">
        <v>12600000</v>
      </c>
      <c r="H37" s="18">
        <f t="shared" si="0"/>
        <v>8.4503087781055111E-4</v>
      </c>
      <c r="I37" s="21">
        <f>April!M37</f>
        <v>1500000</v>
      </c>
      <c r="J37" s="190">
        <f>April!N37</f>
        <v>11.904761904761903</v>
      </c>
      <c r="K37" s="21"/>
      <c r="L37" s="20">
        <f t="shared" si="5"/>
        <v>0</v>
      </c>
      <c r="M37" s="21">
        <f t="shared" si="6"/>
        <v>1500000</v>
      </c>
      <c r="N37" s="20">
        <f t="shared" si="7"/>
        <v>11.904761904761903</v>
      </c>
      <c r="O37" s="22"/>
      <c r="P37" s="21">
        <f t="shared" si="8"/>
        <v>11100000</v>
      </c>
    </row>
    <row r="38" spans="1:16" s="3" customFormat="1" ht="22.5" customHeight="1">
      <c r="A38" s="14">
        <v>2</v>
      </c>
      <c r="B38" s="14">
        <v>8</v>
      </c>
      <c r="C38" s="14">
        <v>1</v>
      </c>
      <c r="D38" s="15" t="s">
        <v>24</v>
      </c>
      <c r="E38" s="14">
        <v>8</v>
      </c>
      <c r="F38" s="166" t="s">
        <v>120</v>
      </c>
      <c r="G38" s="17">
        <v>8000000</v>
      </c>
      <c r="H38" s="18">
        <f t="shared" si="0"/>
        <v>5.3652754146701659E-4</v>
      </c>
      <c r="I38" s="21">
        <f>April!M38</f>
        <v>2000000</v>
      </c>
      <c r="J38" s="190">
        <f>April!N38</f>
        <v>25</v>
      </c>
      <c r="K38" s="21"/>
      <c r="L38" s="20">
        <f t="shared" si="5"/>
        <v>0</v>
      </c>
      <c r="M38" s="21">
        <f t="shared" si="6"/>
        <v>2000000</v>
      </c>
      <c r="N38" s="20">
        <f t="shared" si="7"/>
        <v>25</v>
      </c>
      <c r="O38" s="22"/>
      <c r="P38" s="21">
        <f t="shared" si="8"/>
        <v>6000000</v>
      </c>
    </row>
    <row r="39" spans="1:16" s="3" customFormat="1" ht="22.5" customHeight="1">
      <c r="A39" s="14">
        <v>2</v>
      </c>
      <c r="B39" s="14">
        <v>8</v>
      </c>
      <c r="C39" s="14">
        <v>1</v>
      </c>
      <c r="D39" s="15" t="s">
        <v>24</v>
      </c>
      <c r="E39" s="14">
        <v>9</v>
      </c>
      <c r="F39" s="16" t="s">
        <v>64</v>
      </c>
      <c r="G39" s="17">
        <v>754225900</v>
      </c>
      <c r="H39" s="18">
        <f t="shared" si="0"/>
        <v>5.0582870979718482E-2</v>
      </c>
      <c r="I39" s="21">
        <f>April!M39</f>
        <v>35152418</v>
      </c>
      <c r="J39" s="190">
        <f>April!N39</f>
        <v>4.6607280391723487</v>
      </c>
      <c r="K39" s="21"/>
      <c r="L39" s="20">
        <f>K39/G39*100</f>
        <v>0</v>
      </c>
      <c r="M39" s="21">
        <f>I39+K39</f>
        <v>35152418</v>
      </c>
      <c r="N39" s="20">
        <f>M39/G39*100</f>
        <v>4.6607280391723487</v>
      </c>
      <c r="O39" s="22"/>
      <c r="P39" s="21">
        <f>G39-M39</f>
        <v>719073482</v>
      </c>
    </row>
    <row r="40" spans="1:16" s="3" customFormat="1" ht="22.5" customHeight="1">
      <c r="A40" s="14">
        <v>2</v>
      </c>
      <c r="B40" s="14">
        <v>8</v>
      </c>
      <c r="C40" s="14">
        <v>1</v>
      </c>
      <c r="D40" s="15" t="s">
        <v>24</v>
      </c>
      <c r="E40" s="14">
        <v>10</v>
      </c>
      <c r="F40" s="166" t="s">
        <v>118</v>
      </c>
      <c r="G40" s="17">
        <v>3511650</v>
      </c>
      <c r="H40" s="18">
        <f t="shared" si="0"/>
        <v>2.3551211762408108E-4</v>
      </c>
      <c r="I40" s="21">
        <f>April!M40</f>
        <v>0</v>
      </c>
      <c r="J40" s="190">
        <f>April!N40</f>
        <v>0</v>
      </c>
      <c r="K40" s="21"/>
      <c r="L40" s="20">
        <f>K40/G40*100</f>
        <v>0</v>
      </c>
      <c r="M40" s="21">
        <f>I40+K40</f>
        <v>0</v>
      </c>
      <c r="N40" s="20">
        <f>M40/G40*100</f>
        <v>0</v>
      </c>
      <c r="O40" s="22"/>
      <c r="P40" s="21">
        <f>G40-M40</f>
        <v>3511650</v>
      </c>
    </row>
    <row r="41" spans="1:16" s="3" customFormat="1" ht="22.5" customHeight="1">
      <c r="A41" s="5">
        <v>2</v>
      </c>
      <c r="B41" s="5">
        <v>8</v>
      </c>
      <c r="C41" s="5">
        <v>1</v>
      </c>
      <c r="D41" s="6" t="s">
        <v>116</v>
      </c>
      <c r="E41" s="5"/>
      <c r="F41" s="167" t="s">
        <v>117</v>
      </c>
      <c r="G41" s="45">
        <f>SUM(G42:G44)</f>
        <v>436053900</v>
      </c>
      <c r="H41" s="9">
        <f t="shared" si="0"/>
        <v>2.9244365864263037E-2</v>
      </c>
      <c r="I41" s="8">
        <f>April!M41</f>
        <v>0</v>
      </c>
      <c r="J41" s="11">
        <f>April!N41</f>
        <v>0</v>
      </c>
      <c r="K41" s="45"/>
      <c r="L41" s="12">
        <f>K41/G41*100</f>
        <v>0</v>
      </c>
      <c r="M41" s="8">
        <f>I41+K41</f>
        <v>0</v>
      </c>
      <c r="N41" s="12">
        <f>M41/G41*100</f>
        <v>0</v>
      </c>
      <c r="O41" s="13"/>
      <c r="P41" s="8">
        <f>G41-M41</f>
        <v>436053900</v>
      </c>
    </row>
    <row r="42" spans="1:16" s="3" customFormat="1" ht="22.5" customHeight="1">
      <c r="A42" s="14">
        <v>2</v>
      </c>
      <c r="B42" s="14">
        <v>8</v>
      </c>
      <c r="C42" s="14">
        <v>1</v>
      </c>
      <c r="D42" s="15" t="s">
        <v>116</v>
      </c>
      <c r="E42" s="14">
        <v>2</v>
      </c>
      <c r="F42" s="166" t="s">
        <v>143</v>
      </c>
      <c r="G42" s="17">
        <v>300000000</v>
      </c>
      <c r="H42" s="18">
        <f t="shared" si="0"/>
        <v>2.0119782805013121E-2</v>
      </c>
      <c r="I42" s="21">
        <f>April!M42</f>
        <v>0</v>
      </c>
      <c r="J42" s="190">
        <f>April!N42</f>
        <v>0</v>
      </c>
      <c r="K42" s="164"/>
      <c r="L42" s="29"/>
      <c r="M42" s="30"/>
      <c r="N42" s="29"/>
      <c r="O42" s="165"/>
      <c r="P42" s="21">
        <f>G42-M42</f>
        <v>300000000</v>
      </c>
    </row>
    <row r="43" spans="1:16" s="3" customFormat="1" ht="22.5" customHeight="1">
      <c r="A43" s="14">
        <v>2</v>
      </c>
      <c r="B43" s="14">
        <v>8</v>
      </c>
      <c r="C43" s="14">
        <v>1</v>
      </c>
      <c r="D43" s="15" t="s">
        <v>116</v>
      </c>
      <c r="E43" s="14">
        <v>5</v>
      </c>
      <c r="F43" s="166" t="s">
        <v>144</v>
      </c>
      <c r="G43" s="17">
        <v>46109900</v>
      </c>
      <c r="H43" s="18">
        <f t="shared" si="0"/>
        <v>3.0924039105362485E-3</v>
      </c>
      <c r="I43" s="21">
        <f>April!M43</f>
        <v>0</v>
      </c>
      <c r="J43" s="190">
        <f>April!N43</f>
        <v>0</v>
      </c>
      <c r="K43" s="164"/>
      <c r="L43" s="29"/>
      <c r="M43" s="30"/>
      <c r="N43" s="29"/>
      <c r="O43" s="165"/>
      <c r="P43" s="21">
        <f t="shared" ref="P43:P53" si="9">G43-M43</f>
        <v>46109900</v>
      </c>
    </row>
    <row r="44" spans="1:16" s="3" customFormat="1" ht="22.5" customHeight="1">
      <c r="A44" s="14">
        <v>2</v>
      </c>
      <c r="B44" s="14">
        <v>8</v>
      </c>
      <c r="C44" s="14">
        <v>1</v>
      </c>
      <c r="D44" s="15" t="s">
        <v>116</v>
      </c>
      <c r="E44" s="14">
        <v>6</v>
      </c>
      <c r="F44" s="166" t="s">
        <v>119</v>
      </c>
      <c r="G44" s="17">
        <v>89944000</v>
      </c>
      <c r="H44" s="18">
        <f t="shared" si="0"/>
        <v>6.0321791487136667E-3</v>
      </c>
      <c r="I44" s="21">
        <f>April!M44</f>
        <v>0</v>
      </c>
      <c r="J44" s="190">
        <f>April!N44</f>
        <v>0</v>
      </c>
      <c r="K44" s="21"/>
      <c r="L44" s="20"/>
      <c r="M44" s="30"/>
      <c r="N44" s="29"/>
      <c r="O44" s="22"/>
      <c r="P44" s="21">
        <f t="shared" si="9"/>
        <v>89944000</v>
      </c>
    </row>
    <row r="45" spans="1:16" s="106" customFormat="1" ht="22.5" customHeight="1">
      <c r="A45" s="5">
        <v>2</v>
      </c>
      <c r="B45" s="5">
        <v>8</v>
      </c>
      <c r="C45" s="5">
        <v>1</v>
      </c>
      <c r="D45" s="6" t="s">
        <v>23</v>
      </c>
      <c r="E45" s="5"/>
      <c r="F45" s="7" t="s">
        <v>3</v>
      </c>
      <c r="G45" s="45">
        <f>SUM(G46:G49)</f>
        <v>510041077</v>
      </c>
      <c r="H45" s="9">
        <f t="shared" si="0"/>
        <v>3.4206385636249913E-2</v>
      </c>
      <c r="I45" s="8">
        <f>April!M45</f>
        <v>132174433</v>
      </c>
      <c r="J45" s="11">
        <f>April!N45</f>
        <v>25.914468257622321</v>
      </c>
      <c r="K45" s="45">
        <f>SUM(K46:K49)</f>
        <v>23521500</v>
      </c>
      <c r="L45" s="12">
        <f t="shared" ref="L45:L53" si="10">K45/G45*100</f>
        <v>4.6116873837594854</v>
      </c>
      <c r="M45" s="8">
        <f t="shared" ref="M45:M53" si="11">I45+K45</f>
        <v>155695933</v>
      </c>
      <c r="N45" s="12">
        <f t="shared" ref="N45:N53" si="12">M45/G45*100</f>
        <v>30.526155641381802</v>
      </c>
      <c r="O45" s="13"/>
      <c r="P45" s="8">
        <f t="shared" si="9"/>
        <v>354345144</v>
      </c>
    </row>
    <row r="46" spans="1:16" s="3" customFormat="1" ht="22.5" customHeight="1">
      <c r="A46" s="14">
        <v>2</v>
      </c>
      <c r="B46" s="14">
        <v>8</v>
      </c>
      <c r="C46" s="14">
        <v>1</v>
      </c>
      <c r="D46" s="15" t="s">
        <v>23</v>
      </c>
      <c r="E46" s="14">
        <v>1</v>
      </c>
      <c r="F46" s="16" t="s">
        <v>65</v>
      </c>
      <c r="G46" s="17">
        <v>1749600</v>
      </c>
      <c r="H46" s="18">
        <f t="shared" si="0"/>
        <v>1.1733857331883652E-4</v>
      </c>
      <c r="I46" s="21">
        <f>April!M46</f>
        <v>0</v>
      </c>
      <c r="J46" s="190">
        <f>April!N46</f>
        <v>0</v>
      </c>
      <c r="K46" s="21">
        <v>0</v>
      </c>
      <c r="L46" s="20">
        <f t="shared" si="10"/>
        <v>0</v>
      </c>
      <c r="M46" s="30">
        <f t="shared" si="11"/>
        <v>0</v>
      </c>
      <c r="N46" s="29">
        <f t="shared" si="12"/>
        <v>0</v>
      </c>
      <c r="O46" s="22"/>
      <c r="P46" s="21">
        <f t="shared" si="9"/>
        <v>1749600</v>
      </c>
    </row>
    <row r="47" spans="1:16" s="3" customFormat="1" ht="22.5" customHeight="1">
      <c r="A47" s="14">
        <v>2</v>
      </c>
      <c r="B47" s="14">
        <v>8</v>
      </c>
      <c r="C47" s="14">
        <v>1</v>
      </c>
      <c r="D47" s="15" t="s">
        <v>23</v>
      </c>
      <c r="E47" s="14">
        <v>2</v>
      </c>
      <c r="F47" s="16" t="s">
        <v>66</v>
      </c>
      <c r="G47" s="17">
        <v>114691477</v>
      </c>
      <c r="H47" s="18">
        <f t="shared" si="0"/>
        <v>7.6918920227538592E-3</v>
      </c>
      <c r="I47" s="21">
        <f>April!M47</f>
        <v>30247933</v>
      </c>
      <c r="J47" s="190">
        <f>April!N47</f>
        <v>26.373304966680305</v>
      </c>
      <c r="K47" s="21"/>
      <c r="L47" s="20">
        <f t="shared" si="10"/>
        <v>0</v>
      </c>
      <c r="M47" s="21">
        <f t="shared" si="11"/>
        <v>30247933</v>
      </c>
      <c r="N47" s="20">
        <f t="shared" si="12"/>
        <v>26.373304966680305</v>
      </c>
      <c r="O47" s="22"/>
      <c r="P47" s="21">
        <f t="shared" si="9"/>
        <v>84443544</v>
      </c>
    </row>
    <row r="48" spans="1:16" s="3" customFormat="1" ht="22.5" customHeight="1">
      <c r="A48" s="14">
        <v>2</v>
      </c>
      <c r="B48" s="14">
        <v>8</v>
      </c>
      <c r="C48" s="14">
        <v>1</v>
      </c>
      <c r="D48" s="15" t="s">
        <v>23</v>
      </c>
      <c r="E48" s="14">
        <v>3</v>
      </c>
      <c r="F48" s="16" t="s">
        <v>67</v>
      </c>
      <c r="G48" s="17">
        <v>36800000</v>
      </c>
      <c r="H48" s="18">
        <f t="shared" si="0"/>
        <v>2.4680266907482762E-3</v>
      </c>
      <c r="I48" s="21">
        <f>April!M48</f>
        <v>0</v>
      </c>
      <c r="J48" s="190">
        <f>April!N48</f>
        <v>0</v>
      </c>
      <c r="K48" s="21">
        <v>0</v>
      </c>
      <c r="L48" s="20">
        <f t="shared" si="10"/>
        <v>0</v>
      </c>
      <c r="M48" s="30">
        <f t="shared" si="11"/>
        <v>0</v>
      </c>
      <c r="N48" s="29">
        <f t="shared" si="12"/>
        <v>0</v>
      </c>
      <c r="O48" s="22"/>
      <c r="P48" s="21">
        <f t="shared" si="9"/>
        <v>36800000</v>
      </c>
    </row>
    <row r="49" spans="1:16" s="3" customFormat="1" ht="22.5" customHeight="1">
      <c r="A49" s="14">
        <v>2</v>
      </c>
      <c r="B49" s="14">
        <v>8</v>
      </c>
      <c r="C49" s="14">
        <v>1</v>
      </c>
      <c r="D49" s="15" t="s">
        <v>23</v>
      </c>
      <c r="E49" s="14">
        <v>4</v>
      </c>
      <c r="F49" s="16" t="s">
        <v>68</v>
      </c>
      <c r="G49" s="17">
        <v>356800000</v>
      </c>
      <c r="H49" s="18">
        <f t="shared" si="0"/>
        <v>2.3929128349428938E-2</v>
      </c>
      <c r="I49" s="21">
        <f>April!M49</f>
        <v>101926500</v>
      </c>
      <c r="J49" s="190">
        <f>April!N49</f>
        <v>28.566844170403588</v>
      </c>
      <c r="K49" s="24">
        <f>23400000+121500</f>
        <v>23521500</v>
      </c>
      <c r="L49" s="20">
        <f t="shared" si="10"/>
        <v>6.5923486547085197</v>
      </c>
      <c r="M49" s="21">
        <f t="shared" si="11"/>
        <v>125448000</v>
      </c>
      <c r="N49" s="20">
        <f t="shared" si="12"/>
        <v>35.159192825112108</v>
      </c>
      <c r="O49" s="22"/>
      <c r="P49" s="21">
        <f t="shared" si="9"/>
        <v>231352000</v>
      </c>
    </row>
    <row r="50" spans="1:16" s="106" customFormat="1" ht="22.5" customHeight="1">
      <c r="A50" s="5">
        <v>2</v>
      </c>
      <c r="B50" s="5">
        <v>8</v>
      </c>
      <c r="C50" s="5">
        <v>1</v>
      </c>
      <c r="D50" s="6" t="s">
        <v>22</v>
      </c>
      <c r="E50" s="5"/>
      <c r="F50" s="7" t="s">
        <v>21</v>
      </c>
      <c r="G50" s="26">
        <f>SUM(G51:G53)</f>
        <v>316034000</v>
      </c>
      <c r="H50" s="9">
        <f t="shared" si="0"/>
        <v>2.1195118129998389E-2</v>
      </c>
      <c r="I50" s="8">
        <f>April!M50</f>
        <v>11020000</v>
      </c>
      <c r="J50" s="11">
        <f>April!N50</f>
        <v>3.4869665922021049</v>
      </c>
      <c r="K50" s="26">
        <f>SUM(K51:K53)</f>
        <v>0</v>
      </c>
      <c r="L50" s="108">
        <f t="shared" si="10"/>
        <v>0</v>
      </c>
      <c r="M50" s="8">
        <f t="shared" si="11"/>
        <v>11020000</v>
      </c>
      <c r="N50" s="12">
        <f t="shared" si="12"/>
        <v>3.4869665922021049</v>
      </c>
      <c r="O50" s="13"/>
      <c r="P50" s="8">
        <f t="shared" si="9"/>
        <v>305014000</v>
      </c>
    </row>
    <row r="51" spans="1:16" s="3" customFormat="1" ht="31.5" customHeight="1">
      <c r="A51" s="14">
        <v>2</v>
      </c>
      <c r="B51" s="14">
        <v>8</v>
      </c>
      <c r="C51" s="14">
        <v>1</v>
      </c>
      <c r="D51" s="15" t="s">
        <v>22</v>
      </c>
      <c r="E51" s="14">
        <v>1</v>
      </c>
      <c r="F51" s="16" t="s">
        <v>69</v>
      </c>
      <c r="G51" s="25">
        <v>205390000</v>
      </c>
      <c r="H51" s="18">
        <f t="shared" si="0"/>
        <v>1.3774673967738816E-2</v>
      </c>
      <c r="I51" s="21">
        <f>April!M51</f>
        <v>11020000</v>
      </c>
      <c r="J51" s="190">
        <f>April!N51</f>
        <v>5.3654024051803884</v>
      </c>
      <c r="K51" s="21"/>
      <c r="L51" s="20">
        <f t="shared" si="10"/>
        <v>0</v>
      </c>
      <c r="M51" s="21">
        <f t="shared" si="11"/>
        <v>11020000</v>
      </c>
      <c r="N51" s="20">
        <f t="shared" si="12"/>
        <v>5.3654024051803884</v>
      </c>
      <c r="O51" s="22"/>
      <c r="P51" s="21">
        <f t="shared" si="9"/>
        <v>194370000</v>
      </c>
    </row>
    <row r="52" spans="1:16" s="3" customFormat="1" ht="22.5" customHeight="1">
      <c r="A52" s="14">
        <v>2</v>
      </c>
      <c r="B52" s="14">
        <v>8</v>
      </c>
      <c r="C52" s="14">
        <v>1</v>
      </c>
      <c r="D52" s="15" t="s">
        <v>22</v>
      </c>
      <c r="E52" s="14">
        <v>6</v>
      </c>
      <c r="F52" s="16" t="s">
        <v>70</v>
      </c>
      <c r="G52" s="25">
        <v>23440000</v>
      </c>
      <c r="H52" s="18">
        <f t="shared" si="0"/>
        <v>1.5720256964983585E-3</v>
      </c>
      <c r="I52" s="21">
        <f>April!M52</f>
        <v>0</v>
      </c>
      <c r="J52" s="190">
        <f>April!N52</f>
        <v>0</v>
      </c>
      <c r="K52" s="21">
        <v>0</v>
      </c>
      <c r="L52" s="20">
        <f t="shared" si="10"/>
        <v>0</v>
      </c>
      <c r="M52" s="30">
        <f t="shared" si="11"/>
        <v>0</v>
      </c>
      <c r="N52" s="29">
        <f t="shared" si="12"/>
        <v>0</v>
      </c>
      <c r="O52" s="22"/>
      <c r="P52" s="21">
        <f t="shared" si="9"/>
        <v>23440000</v>
      </c>
    </row>
    <row r="53" spans="1:16" s="3" customFormat="1" ht="22.5" customHeight="1">
      <c r="A53" s="14">
        <v>2</v>
      </c>
      <c r="B53" s="14">
        <v>8</v>
      </c>
      <c r="C53" s="14">
        <v>1</v>
      </c>
      <c r="D53" s="15" t="s">
        <v>22</v>
      </c>
      <c r="E53" s="14">
        <v>9</v>
      </c>
      <c r="F53" s="16" t="s">
        <v>88</v>
      </c>
      <c r="G53" s="25">
        <v>87204000</v>
      </c>
      <c r="H53" s="18">
        <f t="shared" si="0"/>
        <v>5.8484184657612136E-3</v>
      </c>
      <c r="I53" s="21">
        <f>April!M53</f>
        <v>0</v>
      </c>
      <c r="J53" s="190">
        <f>April!N53</f>
        <v>0</v>
      </c>
      <c r="K53" s="21">
        <v>0</v>
      </c>
      <c r="L53" s="20">
        <f t="shared" si="10"/>
        <v>0</v>
      </c>
      <c r="M53" s="30">
        <f t="shared" si="11"/>
        <v>0</v>
      </c>
      <c r="N53" s="29">
        <f t="shared" si="12"/>
        <v>0</v>
      </c>
      <c r="O53" s="22"/>
      <c r="P53" s="21">
        <f t="shared" si="9"/>
        <v>87204000</v>
      </c>
    </row>
    <row r="54" spans="1:16" s="146" customFormat="1" ht="31.5" customHeight="1">
      <c r="A54" s="130"/>
      <c r="B54" s="130"/>
      <c r="C54" s="130"/>
      <c r="D54" s="131"/>
      <c r="E54" s="130"/>
      <c r="F54" s="140" t="s">
        <v>108</v>
      </c>
      <c r="G54" s="144">
        <f>G55+G67+G72</f>
        <v>637720000</v>
      </c>
      <c r="H54" s="132"/>
      <c r="I54" s="138">
        <f>April!M54</f>
        <v>0</v>
      </c>
      <c r="J54" s="134">
        <f>April!N54</f>
        <v>0</v>
      </c>
      <c r="K54" s="136"/>
      <c r="L54" s="135"/>
      <c r="M54" s="138"/>
      <c r="N54" s="139"/>
      <c r="O54" s="143"/>
      <c r="P54" s="136"/>
    </row>
    <row r="55" spans="1:16" s="49" customFormat="1" ht="22.5" customHeight="1">
      <c r="A55" s="36">
        <v>2</v>
      </c>
      <c r="B55" s="36">
        <v>8</v>
      </c>
      <c r="C55" s="36">
        <v>2</v>
      </c>
      <c r="D55" s="37"/>
      <c r="E55" s="36"/>
      <c r="F55" s="38" t="s">
        <v>20</v>
      </c>
      <c r="G55" s="46">
        <f>G56+G58</f>
        <v>328000000</v>
      </c>
      <c r="H55" s="40">
        <f>+G55/$G$119*100%</f>
        <v>2.1997629200147677E-2</v>
      </c>
      <c r="I55" s="39">
        <f>April!M55</f>
        <v>0</v>
      </c>
      <c r="J55" s="42">
        <f>April!N55</f>
        <v>0</v>
      </c>
      <c r="K55" s="46">
        <f>K56</f>
        <v>0</v>
      </c>
      <c r="L55" s="43">
        <f>K55/G55*100</f>
        <v>0</v>
      </c>
      <c r="M55" s="39">
        <f>I55+K55</f>
        <v>0</v>
      </c>
      <c r="N55" s="43">
        <f>M55/G55*100</f>
        <v>0</v>
      </c>
      <c r="O55" s="44"/>
      <c r="P55" s="39">
        <f>G55-M55</f>
        <v>328000000</v>
      </c>
    </row>
    <row r="56" spans="1:16" s="106" customFormat="1" ht="31.5" customHeight="1">
      <c r="A56" s="5">
        <v>2</v>
      </c>
      <c r="B56" s="5">
        <v>8</v>
      </c>
      <c r="C56" s="5">
        <v>2</v>
      </c>
      <c r="D56" s="6" t="s">
        <v>8</v>
      </c>
      <c r="E56" s="5"/>
      <c r="F56" s="7" t="s">
        <v>19</v>
      </c>
      <c r="G56" s="45">
        <f>SUM(G57:G57)</f>
        <v>133000000</v>
      </c>
      <c r="H56" s="9">
        <f>+G56/$G$119*100%</f>
        <v>8.9197703768891506E-3</v>
      </c>
      <c r="I56" s="8">
        <f>April!M56</f>
        <v>0</v>
      </c>
      <c r="J56" s="11">
        <f>April!N56</f>
        <v>0</v>
      </c>
      <c r="K56" s="45">
        <f>SUM(K57:K57)</f>
        <v>0</v>
      </c>
      <c r="L56" s="12">
        <f>K56/G56*100</f>
        <v>0</v>
      </c>
      <c r="M56" s="8">
        <f>I56+K56</f>
        <v>0</v>
      </c>
      <c r="N56" s="12">
        <f>M56/G56*100</f>
        <v>0</v>
      </c>
      <c r="O56" s="13"/>
      <c r="P56" s="8">
        <f>G56-M56</f>
        <v>133000000</v>
      </c>
    </row>
    <row r="57" spans="1:16" s="3" customFormat="1" ht="30" customHeight="1">
      <c r="A57" s="14">
        <v>2</v>
      </c>
      <c r="B57" s="14">
        <v>8</v>
      </c>
      <c r="C57" s="14">
        <v>2</v>
      </c>
      <c r="D57" s="15" t="s">
        <v>8</v>
      </c>
      <c r="E57" s="14">
        <v>7</v>
      </c>
      <c r="F57" s="166" t="s">
        <v>145</v>
      </c>
      <c r="G57" s="17">
        <v>133000000</v>
      </c>
      <c r="H57" s="18">
        <f>+G57/$G$119*100%</f>
        <v>8.9197703768891506E-3</v>
      </c>
      <c r="I57" s="21">
        <f>April!M57</f>
        <v>0</v>
      </c>
      <c r="J57" s="190">
        <f>April!N57</f>
        <v>0</v>
      </c>
      <c r="K57" s="21">
        <v>0</v>
      </c>
      <c r="L57" s="20">
        <f>K57/G57*100</f>
        <v>0</v>
      </c>
      <c r="M57" s="30">
        <f>I57+K57</f>
        <v>0</v>
      </c>
      <c r="N57" s="29">
        <f>M57/G57*100</f>
        <v>0</v>
      </c>
      <c r="O57" s="22"/>
      <c r="P57" s="21">
        <f>G57-M57</f>
        <v>133000000</v>
      </c>
    </row>
    <row r="58" spans="1:16" s="3" customFormat="1" ht="36" customHeight="1">
      <c r="A58" s="5">
        <v>2</v>
      </c>
      <c r="B58" s="5">
        <v>8</v>
      </c>
      <c r="C58" s="5">
        <v>2</v>
      </c>
      <c r="D58" s="6" t="s">
        <v>7</v>
      </c>
      <c r="E58" s="5"/>
      <c r="F58" s="7" t="s">
        <v>146</v>
      </c>
      <c r="G58" s="45">
        <f>SUM(G59:G59)</f>
        <v>195000000</v>
      </c>
      <c r="H58" s="9">
        <f>+G58/$G$119*100%</f>
        <v>1.3077858823258529E-2</v>
      </c>
      <c r="I58" s="8">
        <f>April!M58</f>
        <v>0</v>
      </c>
      <c r="J58" s="11">
        <f>April!N58</f>
        <v>0</v>
      </c>
      <c r="K58" s="45">
        <f>SUM(K59:K59)</f>
        <v>0</v>
      </c>
      <c r="L58" s="12">
        <f>K58/G58*100</f>
        <v>0</v>
      </c>
      <c r="M58" s="8">
        <f>I58+K58</f>
        <v>0</v>
      </c>
      <c r="N58" s="12">
        <f>M58/G58*100</f>
        <v>0</v>
      </c>
      <c r="O58" s="13"/>
      <c r="P58" s="8">
        <f>G58-M58</f>
        <v>195000000</v>
      </c>
    </row>
    <row r="59" spans="1:16" s="3" customFormat="1" ht="34.5" customHeight="1">
      <c r="A59" s="14">
        <v>2</v>
      </c>
      <c r="B59" s="14">
        <v>8</v>
      </c>
      <c r="C59" s="14">
        <v>2</v>
      </c>
      <c r="D59" s="15" t="s">
        <v>7</v>
      </c>
      <c r="E59" s="14">
        <v>2</v>
      </c>
      <c r="F59" s="166" t="s">
        <v>147</v>
      </c>
      <c r="G59" s="17">
        <v>195000000</v>
      </c>
      <c r="H59" s="18">
        <f>+G59/$G$119*100%</f>
        <v>1.3077858823258529E-2</v>
      </c>
      <c r="I59" s="21">
        <f>April!M59</f>
        <v>0</v>
      </c>
      <c r="J59" s="190">
        <f>April!N59</f>
        <v>0</v>
      </c>
      <c r="K59" s="21">
        <v>0</v>
      </c>
      <c r="L59" s="20">
        <f>K59/G59*100</f>
        <v>0</v>
      </c>
      <c r="M59" s="30">
        <f>I59+K59</f>
        <v>0</v>
      </c>
      <c r="N59" s="29">
        <f>M59/G59*100</f>
        <v>0</v>
      </c>
      <c r="O59" s="22"/>
      <c r="P59" s="21">
        <f>G59-M59</f>
        <v>195000000</v>
      </c>
    </row>
    <row r="60" spans="1:16" s="146" customFormat="1" ht="31.5" customHeight="1">
      <c r="A60" s="130"/>
      <c r="B60" s="130"/>
      <c r="C60" s="130"/>
      <c r="D60" s="131"/>
      <c r="E60" s="130"/>
      <c r="F60" s="140" t="s">
        <v>103</v>
      </c>
      <c r="G60" s="144">
        <f>G61</f>
        <v>389086600</v>
      </c>
      <c r="H60" s="132"/>
      <c r="I60" s="138">
        <f>April!M60</f>
        <v>0</v>
      </c>
      <c r="J60" s="134">
        <f>April!N60</f>
        <v>0</v>
      </c>
      <c r="K60" s="136"/>
      <c r="L60" s="135"/>
      <c r="M60" s="138"/>
      <c r="N60" s="139"/>
      <c r="O60" s="143"/>
      <c r="P60" s="136"/>
    </row>
    <row r="61" spans="1:16" s="49" customFormat="1" ht="22.5" customHeight="1">
      <c r="A61" s="36">
        <v>2</v>
      </c>
      <c r="B61" s="36">
        <v>8</v>
      </c>
      <c r="C61" s="36">
        <v>3</v>
      </c>
      <c r="D61" s="37"/>
      <c r="E61" s="36"/>
      <c r="F61" s="38" t="s">
        <v>2</v>
      </c>
      <c r="G61" s="47">
        <f>G62+G64</f>
        <v>389086600</v>
      </c>
      <c r="H61" s="40">
        <f t="shared" ref="H61:H74" si="13">+G61/$G$119*100%</f>
        <v>2.6094459614470062E-2</v>
      </c>
      <c r="I61" s="39">
        <f>April!M61</f>
        <v>0</v>
      </c>
      <c r="J61" s="42">
        <f>April!N61</f>
        <v>0</v>
      </c>
      <c r="K61" s="47">
        <f>K62+K64</f>
        <v>0</v>
      </c>
      <c r="L61" s="109">
        <f t="shared" ref="L61:L74" si="14">K61/G61*100</f>
        <v>0</v>
      </c>
      <c r="M61" s="39">
        <f t="shared" ref="M61:M74" si="15">I61+K61</f>
        <v>0</v>
      </c>
      <c r="N61" s="43">
        <f t="shared" ref="N61:N74" si="16">M61/G61*100</f>
        <v>0</v>
      </c>
      <c r="O61" s="44"/>
      <c r="P61" s="39">
        <f t="shared" ref="P61:P74" si="17">G61-M61</f>
        <v>389086600</v>
      </c>
    </row>
    <row r="62" spans="1:16" s="106" customFormat="1" ht="32.25" customHeight="1">
      <c r="A62" s="5">
        <v>2</v>
      </c>
      <c r="B62" s="5">
        <v>8</v>
      </c>
      <c r="C62" s="5">
        <v>3</v>
      </c>
      <c r="D62" s="6" t="s">
        <v>8</v>
      </c>
      <c r="E62" s="5"/>
      <c r="F62" s="7" t="s">
        <v>18</v>
      </c>
      <c r="G62" s="45">
        <f>G63</f>
        <v>183550000</v>
      </c>
      <c r="H62" s="9">
        <f t="shared" si="13"/>
        <v>1.2309953779533861E-2</v>
      </c>
      <c r="I62" s="8">
        <f>April!M62</f>
        <v>0</v>
      </c>
      <c r="J62" s="11">
        <f>April!N62</f>
        <v>0</v>
      </c>
      <c r="K62" s="45">
        <f>K63</f>
        <v>0</v>
      </c>
      <c r="L62" s="108">
        <f t="shared" si="14"/>
        <v>0</v>
      </c>
      <c r="M62" s="8">
        <f t="shared" si="15"/>
        <v>0</v>
      </c>
      <c r="N62" s="12">
        <f t="shared" si="16"/>
        <v>0</v>
      </c>
      <c r="O62" s="13"/>
      <c r="P62" s="8">
        <f t="shared" si="17"/>
        <v>183550000</v>
      </c>
    </row>
    <row r="63" spans="1:16" s="3" customFormat="1" ht="32.25" customHeight="1">
      <c r="A63" s="14">
        <v>2</v>
      </c>
      <c r="B63" s="14">
        <v>8</v>
      </c>
      <c r="C63" s="14">
        <v>3</v>
      </c>
      <c r="D63" s="15" t="s">
        <v>8</v>
      </c>
      <c r="E63" s="14">
        <v>1</v>
      </c>
      <c r="F63" s="16" t="s">
        <v>71</v>
      </c>
      <c r="G63" s="17">
        <v>183550000</v>
      </c>
      <c r="H63" s="18">
        <f t="shared" si="13"/>
        <v>1.2309953779533861E-2</v>
      </c>
      <c r="I63" s="21">
        <f>April!M63</f>
        <v>0</v>
      </c>
      <c r="J63" s="190">
        <f>April!N63</f>
        <v>0</v>
      </c>
      <c r="K63" s="21">
        <v>0</v>
      </c>
      <c r="L63" s="20">
        <f t="shared" si="14"/>
        <v>0</v>
      </c>
      <c r="M63" s="30">
        <f t="shared" si="15"/>
        <v>0</v>
      </c>
      <c r="N63" s="29">
        <f t="shared" si="16"/>
        <v>0</v>
      </c>
      <c r="O63" s="22"/>
      <c r="P63" s="21">
        <f t="shared" si="17"/>
        <v>183550000</v>
      </c>
    </row>
    <row r="64" spans="1:16" s="106" customFormat="1" ht="32.25" customHeight="1">
      <c r="A64" s="5">
        <v>2</v>
      </c>
      <c r="B64" s="5">
        <v>8</v>
      </c>
      <c r="C64" s="5">
        <v>3</v>
      </c>
      <c r="D64" s="6" t="s">
        <v>14</v>
      </c>
      <c r="E64" s="5"/>
      <c r="F64" s="7" t="s">
        <v>17</v>
      </c>
      <c r="G64" s="45">
        <f>G65+G66</f>
        <v>205536600</v>
      </c>
      <c r="H64" s="9">
        <f t="shared" si="13"/>
        <v>1.3784505834936199E-2</v>
      </c>
      <c r="I64" s="8">
        <f>April!M64</f>
        <v>0</v>
      </c>
      <c r="J64" s="11">
        <f>April!N64</f>
        <v>0</v>
      </c>
      <c r="K64" s="45">
        <f>K65+K66</f>
        <v>0</v>
      </c>
      <c r="L64" s="108">
        <f t="shared" si="14"/>
        <v>0</v>
      </c>
      <c r="M64" s="8">
        <f t="shared" si="15"/>
        <v>0</v>
      </c>
      <c r="N64" s="12">
        <f t="shared" si="16"/>
        <v>0</v>
      </c>
      <c r="O64" s="13"/>
      <c r="P64" s="8">
        <f t="shared" si="17"/>
        <v>205536600</v>
      </c>
    </row>
    <row r="65" spans="1:16" s="3" customFormat="1" ht="32.25" customHeight="1">
      <c r="A65" s="14">
        <v>2</v>
      </c>
      <c r="B65" s="14">
        <v>8</v>
      </c>
      <c r="C65" s="14">
        <v>3</v>
      </c>
      <c r="D65" s="15" t="s">
        <v>14</v>
      </c>
      <c r="E65" s="14">
        <v>2</v>
      </c>
      <c r="F65" s="16" t="s">
        <v>72</v>
      </c>
      <c r="G65" s="17">
        <v>138961600</v>
      </c>
      <c r="H65" s="18">
        <f t="shared" si="13"/>
        <v>9.319590700790371E-3</v>
      </c>
      <c r="I65" s="21">
        <f>April!M65</f>
        <v>0</v>
      </c>
      <c r="J65" s="190">
        <f>April!N65</f>
        <v>0</v>
      </c>
      <c r="K65" s="21">
        <v>0</v>
      </c>
      <c r="L65" s="20">
        <f t="shared" si="14"/>
        <v>0</v>
      </c>
      <c r="M65" s="30">
        <f t="shared" si="15"/>
        <v>0</v>
      </c>
      <c r="N65" s="29">
        <f t="shared" si="16"/>
        <v>0</v>
      </c>
      <c r="O65" s="22"/>
      <c r="P65" s="21">
        <f t="shared" si="17"/>
        <v>138961600</v>
      </c>
    </row>
    <row r="66" spans="1:16" s="3" customFormat="1" ht="32.25" customHeight="1">
      <c r="A66" s="14">
        <v>2</v>
      </c>
      <c r="B66" s="14">
        <v>8</v>
      </c>
      <c r="C66" s="14">
        <v>3</v>
      </c>
      <c r="D66" s="15" t="s">
        <v>14</v>
      </c>
      <c r="E66" s="14">
        <v>3</v>
      </c>
      <c r="F66" s="16" t="s">
        <v>73</v>
      </c>
      <c r="G66" s="17">
        <v>66575000</v>
      </c>
      <c r="H66" s="18">
        <f t="shared" si="13"/>
        <v>4.464915134145828E-3</v>
      </c>
      <c r="I66" s="21">
        <f>April!M66</f>
        <v>0</v>
      </c>
      <c r="J66" s="190">
        <f>April!N66</f>
        <v>0</v>
      </c>
      <c r="K66" s="21">
        <v>0</v>
      </c>
      <c r="L66" s="20">
        <f t="shared" si="14"/>
        <v>0</v>
      </c>
      <c r="M66" s="30">
        <f t="shared" si="15"/>
        <v>0</v>
      </c>
      <c r="N66" s="29">
        <f t="shared" si="16"/>
        <v>0</v>
      </c>
      <c r="O66" s="22"/>
      <c r="P66" s="21">
        <f t="shared" si="17"/>
        <v>66575000</v>
      </c>
    </row>
    <row r="67" spans="1:16" s="49" customFormat="1" ht="26.25" customHeight="1">
      <c r="A67" s="36">
        <v>2</v>
      </c>
      <c r="B67" s="36">
        <v>8</v>
      </c>
      <c r="C67" s="36">
        <v>4</v>
      </c>
      <c r="D67" s="37"/>
      <c r="E67" s="36"/>
      <c r="F67" s="38" t="s">
        <v>111</v>
      </c>
      <c r="G67" s="46">
        <f>G68+G70</f>
        <v>284720000</v>
      </c>
      <c r="H67" s="40">
        <f t="shared" si="13"/>
        <v>1.9095015200811118E-2</v>
      </c>
      <c r="I67" s="39">
        <f>April!M67</f>
        <v>0</v>
      </c>
      <c r="J67" s="42">
        <f>April!N67</f>
        <v>0</v>
      </c>
      <c r="K67" s="46">
        <f>+K68</f>
        <v>0</v>
      </c>
      <c r="L67" s="109">
        <f t="shared" si="14"/>
        <v>0</v>
      </c>
      <c r="M67" s="39">
        <f t="shared" si="15"/>
        <v>0</v>
      </c>
      <c r="N67" s="43">
        <f t="shared" si="16"/>
        <v>0</v>
      </c>
      <c r="O67" s="48"/>
      <c r="P67" s="39">
        <f t="shared" si="17"/>
        <v>284720000</v>
      </c>
    </row>
    <row r="68" spans="1:16" s="106" customFormat="1" ht="35.25" customHeight="1">
      <c r="A68" s="5">
        <v>2</v>
      </c>
      <c r="B68" s="5">
        <v>8</v>
      </c>
      <c r="C68" s="5">
        <v>4</v>
      </c>
      <c r="D68" s="6" t="s">
        <v>8</v>
      </c>
      <c r="E68" s="5"/>
      <c r="F68" s="167" t="s">
        <v>121</v>
      </c>
      <c r="G68" s="45">
        <f>G69</f>
        <v>234720000</v>
      </c>
      <c r="H68" s="9">
        <f t="shared" si="13"/>
        <v>1.5741718066642266E-2</v>
      </c>
      <c r="I68" s="8">
        <f>April!M68</f>
        <v>0</v>
      </c>
      <c r="J68" s="11">
        <f>April!N68</f>
        <v>0</v>
      </c>
      <c r="K68" s="45">
        <f>K69+K74</f>
        <v>0</v>
      </c>
      <c r="L68" s="108">
        <f t="shared" si="14"/>
        <v>0</v>
      </c>
      <c r="M68" s="8">
        <f t="shared" si="15"/>
        <v>0</v>
      </c>
      <c r="N68" s="12">
        <f t="shared" si="16"/>
        <v>0</v>
      </c>
      <c r="O68" s="13"/>
      <c r="P68" s="8">
        <f t="shared" si="17"/>
        <v>234720000</v>
      </c>
    </row>
    <row r="69" spans="1:16" s="3" customFormat="1" ht="34.5" customHeight="1">
      <c r="A69" s="14">
        <v>2</v>
      </c>
      <c r="B69" s="14">
        <v>8</v>
      </c>
      <c r="C69" s="14">
        <v>4</v>
      </c>
      <c r="D69" s="15" t="s">
        <v>8</v>
      </c>
      <c r="E69" s="14">
        <v>3</v>
      </c>
      <c r="F69" s="166" t="s">
        <v>148</v>
      </c>
      <c r="G69" s="17">
        <v>234720000</v>
      </c>
      <c r="H69" s="18">
        <f t="shared" si="13"/>
        <v>1.5741718066642266E-2</v>
      </c>
      <c r="I69" s="21">
        <f>April!M69</f>
        <v>0</v>
      </c>
      <c r="J69" s="190">
        <f>April!N69</f>
        <v>0</v>
      </c>
      <c r="K69" s="21">
        <v>0</v>
      </c>
      <c r="L69" s="20">
        <f t="shared" si="14"/>
        <v>0</v>
      </c>
      <c r="M69" s="30">
        <f t="shared" si="15"/>
        <v>0</v>
      </c>
      <c r="N69" s="29">
        <f t="shared" si="16"/>
        <v>0</v>
      </c>
      <c r="O69" s="22"/>
      <c r="P69" s="21">
        <f t="shared" si="17"/>
        <v>234720000</v>
      </c>
    </row>
    <row r="70" spans="1:16" s="3" customFormat="1" ht="36" customHeight="1">
      <c r="A70" s="5">
        <v>2</v>
      </c>
      <c r="B70" s="5">
        <v>8</v>
      </c>
      <c r="C70" s="5">
        <v>4</v>
      </c>
      <c r="D70" s="6" t="s">
        <v>7</v>
      </c>
      <c r="E70" s="5"/>
      <c r="F70" s="167" t="s">
        <v>149</v>
      </c>
      <c r="G70" s="45">
        <f>G71</f>
        <v>50000000</v>
      </c>
      <c r="H70" s="9">
        <f t="shared" si="13"/>
        <v>3.3532971341688534E-3</v>
      </c>
      <c r="I70" s="8">
        <f>April!M70</f>
        <v>0</v>
      </c>
      <c r="J70" s="11">
        <f>April!N70</f>
        <v>0</v>
      </c>
      <c r="K70" s="45">
        <f>K71+K76</f>
        <v>0</v>
      </c>
      <c r="L70" s="108">
        <f t="shared" si="14"/>
        <v>0</v>
      </c>
      <c r="M70" s="8">
        <f t="shared" si="15"/>
        <v>0</v>
      </c>
      <c r="N70" s="12">
        <f t="shared" si="16"/>
        <v>0</v>
      </c>
      <c r="O70" s="13"/>
      <c r="P70" s="8">
        <f t="shared" si="17"/>
        <v>50000000</v>
      </c>
    </row>
    <row r="71" spans="1:16" s="3" customFormat="1" ht="32.25" customHeight="1">
      <c r="A71" s="14">
        <v>2</v>
      </c>
      <c r="B71" s="14">
        <v>8</v>
      </c>
      <c r="C71" s="14">
        <v>4</v>
      </c>
      <c r="D71" s="15" t="s">
        <v>7</v>
      </c>
      <c r="E71" s="14">
        <v>2</v>
      </c>
      <c r="F71" s="166" t="s">
        <v>150</v>
      </c>
      <c r="G71" s="17">
        <v>50000000</v>
      </c>
      <c r="H71" s="18">
        <f t="shared" si="13"/>
        <v>3.3532971341688534E-3</v>
      </c>
      <c r="I71" s="21">
        <f>April!M71</f>
        <v>0</v>
      </c>
      <c r="J71" s="190">
        <f>April!N71</f>
        <v>0</v>
      </c>
      <c r="K71" s="21">
        <v>0</v>
      </c>
      <c r="L71" s="20">
        <f t="shared" si="14"/>
        <v>0</v>
      </c>
      <c r="M71" s="30">
        <f t="shared" si="15"/>
        <v>0</v>
      </c>
      <c r="N71" s="29">
        <f t="shared" si="16"/>
        <v>0</v>
      </c>
      <c r="O71" s="22"/>
      <c r="P71" s="21">
        <f t="shared" si="17"/>
        <v>50000000</v>
      </c>
    </row>
    <row r="72" spans="1:16" s="3" customFormat="1" ht="32.25" customHeight="1">
      <c r="A72" s="36">
        <v>2</v>
      </c>
      <c r="B72" s="36">
        <v>8</v>
      </c>
      <c r="C72" s="36">
        <v>5</v>
      </c>
      <c r="D72" s="37"/>
      <c r="E72" s="36"/>
      <c r="F72" s="38" t="s">
        <v>151</v>
      </c>
      <c r="G72" s="46">
        <f>G73</f>
        <v>25000000</v>
      </c>
      <c r="H72" s="40">
        <f t="shared" si="13"/>
        <v>1.6766485670844267E-3</v>
      </c>
      <c r="I72" s="39">
        <f>April!M72</f>
        <v>0</v>
      </c>
      <c r="J72" s="42">
        <f>April!N72</f>
        <v>0</v>
      </c>
      <c r="K72" s="46">
        <f>+K73</f>
        <v>0</v>
      </c>
      <c r="L72" s="109">
        <f t="shared" si="14"/>
        <v>0</v>
      </c>
      <c r="M72" s="39">
        <f t="shared" si="15"/>
        <v>0</v>
      </c>
      <c r="N72" s="43">
        <f t="shared" si="16"/>
        <v>0</v>
      </c>
      <c r="O72" s="48"/>
      <c r="P72" s="39">
        <f t="shared" si="17"/>
        <v>25000000</v>
      </c>
    </row>
    <row r="73" spans="1:16" s="3" customFormat="1" ht="32.25" customHeight="1">
      <c r="A73" s="5">
        <v>2</v>
      </c>
      <c r="B73" s="5">
        <v>8</v>
      </c>
      <c r="C73" s="5">
        <v>5</v>
      </c>
      <c r="D73" s="6" t="s">
        <v>8</v>
      </c>
      <c r="E73" s="5"/>
      <c r="F73" s="167" t="s">
        <v>152</v>
      </c>
      <c r="G73" s="45">
        <f>G74</f>
        <v>25000000</v>
      </c>
      <c r="H73" s="9">
        <f t="shared" si="13"/>
        <v>1.6766485670844267E-3</v>
      </c>
      <c r="I73" s="8">
        <f>April!M73</f>
        <v>0</v>
      </c>
      <c r="J73" s="11">
        <f>April!N73</f>
        <v>0</v>
      </c>
      <c r="K73" s="45">
        <f>K74+K79</f>
        <v>0</v>
      </c>
      <c r="L73" s="108">
        <f t="shared" si="14"/>
        <v>0</v>
      </c>
      <c r="M73" s="8">
        <f t="shared" si="15"/>
        <v>0</v>
      </c>
      <c r="N73" s="12">
        <f t="shared" si="16"/>
        <v>0</v>
      </c>
      <c r="O73" s="13"/>
      <c r="P73" s="8">
        <f t="shared" si="17"/>
        <v>25000000</v>
      </c>
    </row>
    <row r="74" spans="1:16" s="3" customFormat="1" ht="30.75" customHeight="1">
      <c r="A74" s="14">
        <v>2</v>
      </c>
      <c r="B74" s="14">
        <v>8</v>
      </c>
      <c r="C74" s="14">
        <v>5</v>
      </c>
      <c r="D74" s="15" t="s">
        <v>8</v>
      </c>
      <c r="E74" s="14">
        <v>3</v>
      </c>
      <c r="F74" s="166" t="s">
        <v>153</v>
      </c>
      <c r="G74" s="17">
        <v>25000000</v>
      </c>
      <c r="H74" s="18">
        <f t="shared" si="13"/>
        <v>1.6766485670844267E-3</v>
      </c>
      <c r="I74" s="21">
        <f>April!M74</f>
        <v>0</v>
      </c>
      <c r="J74" s="190">
        <f>April!N74</f>
        <v>0</v>
      </c>
      <c r="K74" s="21">
        <v>0</v>
      </c>
      <c r="L74" s="20">
        <f t="shared" si="14"/>
        <v>0</v>
      </c>
      <c r="M74" s="30">
        <f t="shared" si="15"/>
        <v>0</v>
      </c>
      <c r="N74" s="29">
        <f t="shared" si="16"/>
        <v>0</v>
      </c>
      <c r="O74" s="22"/>
      <c r="P74" s="21">
        <f t="shared" si="17"/>
        <v>25000000</v>
      </c>
    </row>
    <row r="75" spans="1:16" s="146" customFormat="1" ht="30" customHeight="1">
      <c r="A75" s="130"/>
      <c r="B75" s="130"/>
      <c r="C75" s="130"/>
      <c r="D75" s="131"/>
      <c r="E75" s="130"/>
      <c r="F75" s="140" t="s">
        <v>104</v>
      </c>
      <c r="G75" s="144">
        <f>G76</f>
        <v>429820700</v>
      </c>
      <c r="H75" s="132"/>
      <c r="I75" s="138">
        <f>April!M75</f>
        <v>0</v>
      </c>
      <c r="J75" s="134">
        <f>April!N75</f>
        <v>0</v>
      </c>
      <c r="K75" s="136"/>
      <c r="L75" s="135"/>
      <c r="M75" s="138"/>
      <c r="N75" s="139"/>
      <c r="O75" s="137"/>
      <c r="P75" s="136"/>
    </row>
    <row r="76" spans="1:16" s="49" customFormat="1" ht="23.25" customHeight="1">
      <c r="A76" s="36">
        <v>2</v>
      </c>
      <c r="B76" s="36">
        <v>8</v>
      </c>
      <c r="C76" s="36">
        <v>6</v>
      </c>
      <c r="D76" s="37"/>
      <c r="E76" s="36"/>
      <c r="F76" s="38" t="s">
        <v>16</v>
      </c>
      <c r="G76" s="46">
        <f>G77+G80</f>
        <v>429820700</v>
      </c>
      <c r="H76" s="40">
        <f t="shared" ref="H76:H81" si="18">+G76/$G$119*100%</f>
        <v>2.8826330430329009E-2</v>
      </c>
      <c r="I76" s="39">
        <f>April!M76</f>
        <v>0</v>
      </c>
      <c r="J76" s="42">
        <f>April!N76</f>
        <v>0</v>
      </c>
      <c r="K76" s="46">
        <f>+K77</f>
        <v>0</v>
      </c>
      <c r="L76" s="109">
        <f t="shared" ref="L76:L81" si="19">K76/G76*100</f>
        <v>0</v>
      </c>
      <c r="M76" s="39">
        <f t="shared" ref="M76:M81" si="20">I76+K76</f>
        <v>0</v>
      </c>
      <c r="N76" s="43">
        <f t="shared" ref="N76:N81" si="21">M76/G76*100</f>
        <v>0</v>
      </c>
      <c r="O76" s="44"/>
      <c r="P76" s="39">
        <f t="shared" ref="P76:P81" si="22">G76-M76</f>
        <v>429820700</v>
      </c>
    </row>
    <row r="77" spans="1:16" s="106" customFormat="1" ht="36" customHeight="1">
      <c r="A77" s="5">
        <v>2</v>
      </c>
      <c r="B77" s="5">
        <v>8</v>
      </c>
      <c r="C77" s="5">
        <v>6</v>
      </c>
      <c r="D77" s="6" t="s">
        <v>8</v>
      </c>
      <c r="E77" s="5"/>
      <c r="F77" s="7" t="s">
        <v>15</v>
      </c>
      <c r="G77" s="45">
        <f>G78+G79</f>
        <v>389820900</v>
      </c>
      <c r="H77" s="9">
        <f t="shared" si="18"/>
        <v>2.6143706136182464E-2</v>
      </c>
      <c r="I77" s="8">
        <f>April!M77</f>
        <v>0</v>
      </c>
      <c r="J77" s="11">
        <f>April!N77</f>
        <v>0</v>
      </c>
      <c r="K77" s="45">
        <f>K78+K79</f>
        <v>0</v>
      </c>
      <c r="L77" s="108">
        <f t="shared" si="19"/>
        <v>0</v>
      </c>
      <c r="M77" s="8">
        <f t="shared" si="20"/>
        <v>0</v>
      </c>
      <c r="N77" s="12">
        <f t="shared" si="21"/>
        <v>0</v>
      </c>
      <c r="O77" s="13"/>
      <c r="P77" s="8">
        <f t="shared" si="22"/>
        <v>389820900</v>
      </c>
    </row>
    <row r="78" spans="1:16" s="3" customFormat="1" ht="30" customHeight="1">
      <c r="A78" s="14">
        <v>2</v>
      </c>
      <c r="B78" s="14">
        <v>8</v>
      </c>
      <c r="C78" s="14">
        <v>6</v>
      </c>
      <c r="D78" s="15" t="s">
        <v>8</v>
      </c>
      <c r="E78" s="14">
        <v>2</v>
      </c>
      <c r="F78" s="166" t="s">
        <v>122</v>
      </c>
      <c r="G78" s="17">
        <v>201924900</v>
      </c>
      <c r="H78" s="18">
        <f t="shared" si="18"/>
        <v>1.3542283769746647E-2</v>
      </c>
      <c r="I78" s="21">
        <f>April!M78</f>
        <v>0</v>
      </c>
      <c r="J78" s="190">
        <f>April!N78</f>
        <v>0</v>
      </c>
      <c r="K78" s="21">
        <v>0</v>
      </c>
      <c r="L78" s="20">
        <f t="shared" si="19"/>
        <v>0</v>
      </c>
      <c r="M78" s="30">
        <f t="shared" si="20"/>
        <v>0</v>
      </c>
      <c r="N78" s="29">
        <f t="shared" si="21"/>
        <v>0</v>
      </c>
      <c r="O78" s="22"/>
      <c r="P78" s="21">
        <f t="shared" si="22"/>
        <v>201924900</v>
      </c>
    </row>
    <row r="79" spans="1:16" s="3" customFormat="1" ht="43.5" customHeight="1">
      <c r="A79" s="14">
        <v>2</v>
      </c>
      <c r="B79" s="14">
        <v>8</v>
      </c>
      <c r="C79" s="14">
        <v>6</v>
      </c>
      <c r="D79" s="15" t="s">
        <v>8</v>
      </c>
      <c r="E79" s="14">
        <v>3</v>
      </c>
      <c r="F79" s="166" t="s">
        <v>123</v>
      </c>
      <c r="G79" s="17">
        <v>187896000</v>
      </c>
      <c r="H79" s="18">
        <f t="shared" si="18"/>
        <v>1.2601422366435818E-2</v>
      </c>
      <c r="I79" s="21">
        <f>April!M79</f>
        <v>0</v>
      </c>
      <c r="J79" s="190">
        <f>April!N79</f>
        <v>0</v>
      </c>
      <c r="K79" s="21">
        <v>0</v>
      </c>
      <c r="L79" s="20">
        <f t="shared" si="19"/>
        <v>0</v>
      </c>
      <c r="M79" s="30">
        <f t="shared" si="20"/>
        <v>0</v>
      </c>
      <c r="N79" s="29">
        <f t="shared" si="21"/>
        <v>0</v>
      </c>
      <c r="O79" s="22"/>
      <c r="P79" s="21">
        <f t="shared" si="22"/>
        <v>187896000</v>
      </c>
    </row>
    <row r="80" spans="1:16" s="3" customFormat="1" ht="33.75" customHeight="1">
      <c r="A80" s="5">
        <v>2</v>
      </c>
      <c r="B80" s="5">
        <v>8</v>
      </c>
      <c r="C80" s="5">
        <v>6</v>
      </c>
      <c r="D80" s="6" t="s">
        <v>7</v>
      </c>
      <c r="E80" s="5"/>
      <c r="F80" s="167" t="s">
        <v>124</v>
      </c>
      <c r="G80" s="45">
        <f>G81</f>
        <v>39999800</v>
      </c>
      <c r="H80" s="9">
        <f t="shared" si="18"/>
        <v>2.6826242941465463E-3</v>
      </c>
      <c r="I80" s="8">
        <f>April!M80</f>
        <v>0</v>
      </c>
      <c r="J80" s="11">
        <f>April!N80</f>
        <v>0</v>
      </c>
      <c r="K80" s="45">
        <f>K81+K82</f>
        <v>0</v>
      </c>
      <c r="L80" s="108">
        <f t="shared" si="19"/>
        <v>0</v>
      </c>
      <c r="M80" s="8">
        <f t="shared" si="20"/>
        <v>0</v>
      </c>
      <c r="N80" s="12">
        <f t="shared" si="21"/>
        <v>0</v>
      </c>
      <c r="O80" s="13"/>
      <c r="P80" s="8">
        <f t="shared" si="22"/>
        <v>39999800</v>
      </c>
    </row>
    <row r="81" spans="1:16" s="3" customFormat="1" ht="27.75" customHeight="1">
      <c r="A81" s="14">
        <v>2</v>
      </c>
      <c r="B81" s="14">
        <v>8</v>
      </c>
      <c r="C81" s="14">
        <v>6</v>
      </c>
      <c r="D81" s="15" t="s">
        <v>7</v>
      </c>
      <c r="E81" s="14">
        <v>6</v>
      </c>
      <c r="F81" s="166" t="s">
        <v>125</v>
      </c>
      <c r="G81" s="17">
        <v>39999800</v>
      </c>
      <c r="H81" s="18">
        <f t="shared" si="18"/>
        <v>2.6826242941465463E-3</v>
      </c>
      <c r="I81" s="21">
        <f>April!M81</f>
        <v>0</v>
      </c>
      <c r="J81" s="190">
        <f>April!N81</f>
        <v>0</v>
      </c>
      <c r="K81" s="30">
        <v>0</v>
      </c>
      <c r="L81" s="20">
        <f t="shared" si="19"/>
        <v>0</v>
      </c>
      <c r="M81" s="30">
        <f t="shared" si="20"/>
        <v>0</v>
      </c>
      <c r="N81" s="29">
        <f t="shared" si="21"/>
        <v>0</v>
      </c>
      <c r="O81" s="22"/>
      <c r="P81" s="21">
        <f t="shared" si="22"/>
        <v>39999800</v>
      </c>
    </row>
    <row r="82" spans="1:16" s="3" customFormat="1" ht="30" customHeight="1">
      <c r="A82" s="130"/>
      <c r="B82" s="130"/>
      <c r="C82" s="130"/>
      <c r="D82" s="131"/>
      <c r="E82" s="130"/>
      <c r="F82" s="140" t="s">
        <v>105</v>
      </c>
      <c r="G82" s="144">
        <f>G83</f>
        <v>690942900</v>
      </c>
      <c r="H82" s="132"/>
      <c r="I82" s="138">
        <f>April!M82</f>
        <v>0</v>
      </c>
      <c r="J82" s="134">
        <f>April!N82</f>
        <v>0</v>
      </c>
      <c r="K82" s="136"/>
      <c r="L82" s="135"/>
      <c r="M82" s="138"/>
      <c r="N82" s="139"/>
      <c r="O82" s="143"/>
      <c r="P82" s="136"/>
    </row>
    <row r="83" spans="1:16" s="49" customFormat="1" ht="27" customHeight="1">
      <c r="A83" s="36">
        <v>2</v>
      </c>
      <c r="B83" s="36">
        <v>8</v>
      </c>
      <c r="C83" s="36">
        <v>7</v>
      </c>
      <c r="D83" s="37"/>
      <c r="E83" s="36"/>
      <c r="F83" s="38" t="s">
        <v>94</v>
      </c>
      <c r="G83" s="46">
        <f>G84+G86</f>
        <v>690942900</v>
      </c>
      <c r="H83" s="40">
        <f>+G83/$G$119*100%</f>
        <v>4.6338736928886334E-2</v>
      </c>
      <c r="I83" s="39">
        <f>April!M83</f>
        <v>81992000</v>
      </c>
      <c r="J83" s="42">
        <f>April!N83</f>
        <v>11.866682471156444</v>
      </c>
      <c r="K83" s="46">
        <f>K84+K86</f>
        <v>0</v>
      </c>
      <c r="L83" s="109">
        <f>K83/G83*100</f>
        <v>0</v>
      </c>
      <c r="M83" s="39">
        <f>I83+K83</f>
        <v>81992000</v>
      </c>
      <c r="N83" s="43">
        <f>M83/G83*100</f>
        <v>11.866682471156444</v>
      </c>
      <c r="O83" s="44"/>
      <c r="P83" s="39">
        <f>G83-M83</f>
        <v>608950900</v>
      </c>
    </row>
    <row r="84" spans="1:16" s="106" customFormat="1" ht="40.5" customHeight="1">
      <c r="A84" s="5">
        <v>2</v>
      </c>
      <c r="B84" s="5">
        <v>8</v>
      </c>
      <c r="C84" s="5">
        <v>7</v>
      </c>
      <c r="D84" s="6" t="s">
        <v>8</v>
      </c>
      <c r="E84" s="5"/>
      <c r="F84" s="7" t="s">
        <v>43</v>
      </c>
      <c r="G84" s="45">
        <f>G85</f>
        <v>514072900</v>
      </c>
      <c r="H84" s="9">
        <f>+G84/$G$119*100%</f>
        <v>3.4476783646477431E-2</v>
      </c>
      <c r="I84" s="8">
        <f>April!M84</f>
        <v>81992000</v>
      </c>
      <c r="J84" s="11">
        <f>April!N84</f>
        <v>15.949488875994048</v>
      </c>
      <c r="K84" s="45">
        <f>K85</f>
        <v>0</v>
      </c>
      <c r="L84" s="108">
        <f>K84/G84*100</f>
        <v>0</v>
      </c>
      <c r="M84" s="8">
        <f>I84+K84</f>
        <v>81992000</v>
      </c>
      <c r="N84" s="12">
        <f>M84/G84*100</f>
        <v>15.949488875994048</v>
      </c>
      <c r="O84" s="13"/>
      <c r="P84" s="8">
        <f>G84-M84</f>
        <v>432080900</v>
      </c>
    </row>
    <row r="85" spans="1:16" s="3" customFormat="1" ht="40.5" customHeight="1">
      <c r="A85" s="14">
        <v>2</v>
      </c>
      <c r="B85" s="14">
        <v>8</v>
      </c>
      <c r="C85" s="14">
        <v>7</v>
      </c>
      <c r="D85" s="15" t="s">
        <v>8</v>
      </c>
      <c r="E85" s="14">
        <v>2</v>
      </c>
      <c r="F85" s="16" t="s">
        <v>82</v>
      </c>
      <c r="G85" s="17">
        <v>514072900</v>
      </c>
      <c r="H85" s="18">
        <f>+G85/$G$119*100%</f>
        <v>3.4476783646477431E-2</v>
      </c>
      <c r="I85" s="21">
        <f>April!M85</f>
        <v>81992000</v>
      </c>
      <c r="J85" s="190">
        <f>April!N85</f>
        <v>15.949488875994048</v>
      </c>
      <c r="K85" s="21"/>
      <c r="L85" s="20">
        <f>K85/G85*100</f>
        <v>0</v>
      </c>
      <c r="M85" s="21">
        <f>I85+K85</f>
        <v>81992000</v>
      </c>
      <c r="N85" s="20">
        <f>M85/G85*100</f>
        <v>15.949488875994048</v>
      </c>
      <c r="O85" s="22"/>
      <c r="P85" s="21">
        <f>G85-M85</f>
        <v>432080900</v>
      </c>
    </row>
    <row r="86" spans="1:16" s="106" customFormat="1" ht="48.75" customHeight="1">
      <c r="A86" s="5">
        <v>2</v>
      </c>
      <c r="B86" s="5">
        <v>8</v>
      </c>
      <c r="C86" s="5">
        <v>7</v>
      </c>
      <c r="D86" s="6" t="s">
        <v>14</v>
      </c>
      <c r="E86" s="5"/>
      <c r="F86" s="7" t="s">
        <v>13</v>
      </c>
      <c r="G86" s="45">
        <f>G87</f>
        <v>176870000</v>
      </c>
      <c r="H86" s="9">
        <f>+G86/$G$119*100%</f>
        <v>1.1861953282408902E-2</v>
      </c>
      <c r="I86" s="8">
        <f>April!M86</f>
        <v>0</v>
      </c>
      <c r="J86" s="11">
        <f>April!N86</f>
        <v>0</v>
      </c>
      <c r="K86" s="45">
        <f>K87</f>
        <v>0</v>
      </c>
      <c r="L86" s="108">
        <f>K86/G86*100</f>
        <v>0</v>
      </c>
      <c r="M86" s="8">
        <f>I86+K86</f>
        <v>0</v>
      </c>
      <c r="N86" s="12">
        <f>M86/G86*100</f>
        <v>0</v>
      </c>
      <c r="O86" s="13"/>
      <c r="P86" s="8">
        <f>G86-M86</f>
        <v>176870000</v>
      </c>
    </row>
    <row r="87" spans="1:16" s="3" customFormat="1" ht="40.5" customHeight="1">
      <c r="A87" s="14">
        <v>2</v>
      </c>
      <c r="B87" s="14">
        <v>8</v>
      </c>
      <c r="C87" s="14">
        <v>7</v>
      </c>
      <c r="D87" s="15" t="s">
        <v>14</v>
      </c>
      <c r="E87" s="14">
        <v>8</v>
      </c>
      <c r="F87" s="166" t="s">
        <v>126</v>
      </c>
      <c r="G87" s="17">
        <v>176870000</v>
      </c>
      <c r="H87" s="18">
        <f>+G87/$G$119*100%</f>
        <v>1.1861953282408902E-2</v>
      </c>
      <c r="I87" s="21">
        <f>April!M87</f>
        <v>0</v>
      </c>
      <c r="J87" s="190">
        <f>April!N87</f>
        <v>0</v>
      </c>
      <c r="K87" s="21">
        <v>0</v>
      </c>
      <c r="L87" s="20">
        <f>K87/G87*100</f>
        <v>0</v>
      </c>
      <c r="M87" s="30">
        <f>I87+K87</f>
        <v>0</v>
      </c>
      <c r="N87" s="29">
        <f>M87/G87*100</f>
        <v>0</v>
      </c>
      <c r="O87" s="22"/>
      <c r="P87" s="21">
        <f>G87-M87</f>
        <v>176870000</v>
      </c>
    </row>
    <row r="88" spans="1:16" s="146" customFormat="1" ht="35.25" customHeight="1">
      <c r="A88" s="130"/>
      <c r="B88" s="130"/>
      <c r="C88" s="130"/>
      <c r="D88" s="131"/>
      <c r="E88" s="130"/>
      <c r="F88" s="140" t="s">
        <v>106</v>
      </c>
      <c r="G88" s="144">
        <f>G89+G95+G98</f>
        <v>753381950</v>
      </c>
      <c r="H88" s="132"/>
      <c r="I88" s="138">
        <f>April!M88</f>
        <v>0</v>
      </c>
      <c r="J88" s="134">
        <f>April!N88</f>
        <v>0</v>
      </c>
      <c r="K88" s="136"/>
      <c r="L88" s="135"/>
      <c r="M88" s="138"/>
      <c r="N88" s="139"/>
      <c r="O88" s="143"/>
      <c r="P88" s="136"/>
    </row>
    <row r="89" spans="1:16" s="49" customFormat="1" ht="31.5" customHeight="1">
      <c r="A89" s="36">
        <v>2</v>
      </c>
      <c r="B89" s="36">
        <v>14</v>
      </c>
      <c r="C89" s="36">
        <v>2</v>
      </c>
      <c r="D89" s="37"/>
      <c r="E89" s="36"/>
      <c r="F89" s="38" t="s">
        <v>12</v>
      </c>
      <c r="G89" s="46">
        <f>G90+G93</f>
        <v>232558950</v>
      </c>
      <c r="H89" s="40">
        <f>+G89/$G$119*100%</f>
        <v>1.5596785211206353E-2</v>
      </c>
      <c r="I89" s="39">
        <f>April!M89</f>
        <v>0</v>
      </c>
      <c r="J89" s="42">
        <f>April!N89</f>
        <v>0</v>
      </c>
      <c r="K89" s="46">
        <f>K90</f>
        <v>0</v>
      </c>
      <c r="L89" s="109">
        <f>K89/G89*100</f>
        <v>0</v>
      </c>
      <c r="M89" s="39">
        <f>I89+K89</f>
        <v>0</v>
      </c>
      <c r="N89" s="43">
        <f>M89/G89*100</f>
        <v>0</v>
      </c>
      <c r="O89" s="44"/>
      <c r="P89" s="39">
        <f t="shared" ref="P89:P103" si="23">G89-M89</f>
        <v>232558950</v>
      </c>
    </row>
    <row r="90" spans="1:16" s="106" customFormat="1" ht="40.5" customHeight="1">
      <c r="A90" s="5">
        <v>2</v>
      </c>
      <c r="B90" s="5">
        <v>14</v>
      </c>
      <c r="C90" s="5">
        <v>2</v>
      </c>
      <c r="D90" s="6" t="s">
        <v>8</v>
      </c>
      <c r="E90" s="5"/>
      <c r="F90" s="7" t="s">
        <v>11</v>
      </c>
      <c r="G90" s="45">
        <f>G91+G92</f>
        <v>220558950</v>
      </c>
      <c r="H90" s="9">
        <f>+G90/$G$119*100%</f>
        <v>1.479199389900583E-2</v>
      </c>
      <c r="I90" s="8">
        <f>April!M90</f>
        <v>0</v>
      </c>
      <c r="J90" s="11">
        <f>April!N90</f>
        <v>0</v>
      </c>
      <c r="K90" s="45">
        <f>K91</f>
        <v>0</v>
      </c>
      <c r="L90" s="108">
        <f>K90/G90*100</f>
        <v>0</v>
      </c>
      <c r="M90" s="8">
        <f>I90+K90</f>
        <v>0</v>
      </c>
      <c r="N90" s="12">
        <f>M90/G90*100</f>
        <v>0</v>
      </c>
      <c r="O90" s="13"/>
      <c r="P90" s="8">
        <f t="shared" si="23"/>
        <v>220558950</v>
      </c>
    </row>
    <row r="91" spans="1:16" s="3" customFormat="1" ht="25.5" customHeight="1">
      <c r="A91" s="14">
        <v>2</v>
      </c>
      <c r="B91" s="14">
        <v>14</v>
      </c>
      <c r="C91" s="14">
        <v>2</v>
      </c>
      <c r="D91" s="15" t="s">
        <v>8</v>
      </c>
      <c r="E91" s="14">
        <v>3</v>
      </c>
      <c r="F91" s="16" t="s">
        <v>89</v>
      </c>
      <c r="G91" s="17">
        <v>99423950</v>
      </c>
      <c r="H91" s="18">
        <f>+G91/$G$119*100%</f>
        <v>6.6679609320549477E-3</v>
      </c>
      <c r="I91" s="21">
        <f>April!M91</f>
        <v>0</v>
      </c>
      <c r="J91" s="190">
        <f>April!N91</f>
        <v>0</v>
      </c>
      <c r="K91" s="21">
        <v>0</v>
      </c>
      <c r="L91" s="20">
        <f>K91/G91*100</f>
        <v>0</v>
      </c>
      <c r="M91" s="30">
        <f>I91+K91</f>
        <v>0</v>
      </c>
      <c r="N91" s="29">
        <f>M91/G91*100</f>
        <v>0</v>
      </c>
      <c r="O91" s="22"/>
      <c r="P91" s="21">
        <f t="shared" si="23"/>
        <v>99423950</v>
      </c>
    </row>
    <row r="92" spans="1:16" s="3" customFormat="1" ht="47.25" customHeight="1">
      <c r="A92" s="14">
        <v>2</v>
      </c>
      <c r="B92" s="14">
        <v>14</v>
      </c>
      <c r="C92" s="14">
        <v>2</v>
      </c>
      <c r="D92" s="15" t="s">
        <v>8</v>
      </c>
      <c r="E92" s="14">
        <v>7</v>
      </c>
      <c r="F92" s="16" t="s">
        <v>154</v>
      </c>
      <c r="G92" s="17">
        <v>121135000</v>
      </c>
      <c r="H92" s="18">
        <f>+G92/$G$119*100%</f>
        <v>8.124032966950882E-3</v>
      </c>
      <c r="I92" s="21">
        <f>April!M92</f>
        <v>0</v>
      </c>
      <c r="J92" s="190">
        <f>April!N92</f>
        <v>0</v>
      </c>
      <c r="K92" s="21"/>
      <c r="L92" s="20"/>
      <c r="M92" s="30"/>
      <c r="N92" s="29"/>
      <c r="O92" s="22"/>
      <c r="P92" s="21">
        <f t="shared" si="23"/>
        <v>121135000</v>
      </c>
    </row>
    <row r="93" spans="1:16" s="3" customFormat="1" ht="27" customHeight="1">
      <c r="A93" s="5">
        <v>2</v>
      </c>
      <c r="B93" s="5">
        <v>14</v>
      </c>
      <c r="C93" s="5">
        <v>2</v>
      </c>
      <c r="D93" s="6" t="s">
        <v>7</v>
      </c>
      <c r="E93" s="5"/>
      <c r="F93" s="7" t="s">
        <v>156</v>
      </c>
      <c r="G93" s="45">
        <f>G94</f>
        <v>12000000</v>
      </c>
      <c r="H93" s="9">
        <f t="shared" ref="H93:H103" si="24">+G93/$G$119*100%</f>
        <v>8.0479131220052478E-4</v>
      </c>
      <c r="I93" s="8">
        <f>April!M93</f>
        <v>0</v>
      </c>
      <c r="J93" s="11">
        <f>April!N93</f>
        <v>0</v>
      </c>
      <c r="K93" s="45">
        <f>K94</f>
        <v>0</v>
      </c>
      <c r="L93" s="108">
        <f>K93/G93*100</f>
        <v>0</v>
      </c>
      <c r="M93" s="8">
        <f>I93+K93</f>
        <v>0</v>
      </c>
      <c r="N93" s="12">
        <f>M93/G93*100</f>
        <v>0</v>
      </c>
      <c r="O93" s="13"/>
      <c r="P93" s="8">
        <f t="shared" si="23"/>
        <v>12000000</v>
      </c>
    </row>
    <row r="94" spans="1:16" s="3" customFormat="1" ht="29.25" customHeight="1">
      <c r="A94" s="14">
        <v>2</v>
      </c>
      <c r="B94" s="14">
        <v>14</v>
      </c>
      <c r="C94" s="14">
        <v>2</v>
      </c>
      <c r="D94" s="15" t="s">
        <v>7</v>
      </c>
      <c r="E94" s="14">
        <v>2</v>
      </c>
      <c r="F94" s="16" t="s">
        <v>155</v>
      </c>
      <c r="G94" s="17">
        <v>12000000</v>
      </c>
      <c r="H94" s="18">
        <f t="shared" si="24"/>
        <v>8.0479131220052478E-4</v>
      </c>
      <c r="I94" s="30">
        <f>April!M94</f>
        <v>0</v>
      </c>
      <c r="J94" s="28">
        <f>April!N94</f>
        <v>0</v>
      </c>
      <c r="K94" s="21">
        <v>0</v>
      </c>
      <c r="L94" s="20">
        <f>K94/G94*100</f>
        <v>0</v>
      </c>
      <c r="M94" s="30">
        <f>I94+K94</f>
        <v>0</v>
      </c>
      <c r="N94" s="29">
        <f>M94/G94*100</f>
        <v>0</v>
      </c>
      <c r="O94" s="22"/>
      <c r="P94" s="21">
        <f t="shared" si="23"/>
        <v>12000000</v>
      </c>
    </row>
    <row r="95" spans="1:16" s="49" customFormat="1" ht="26.25" customHeight="1">
      <c r="A95" s="36">
        <v>2</v>
      </c>
      <c r="B95" s="36">
        <v>14</v>
      </c>
      <c r="C95" s="36">
        <v>3</v>
      </c>
      <c r="D95" s="37"/>
      <c r="E95" s="36"/>
      <c r="F95" s="38" t="s">
        <v>10</v>
      </c>
      <c r="G95" s="46">
        <f>G96</f>
        <v>23923000</v>
      </c>
      <c r="H95" s="40">
        <f t="shared" si="24"/>
        <v>1.6044185468144297E-3</v>
      </c>
      <c r="I95" s="39">
        <f>April!M95</f>
        <v>0</v>
      </c>
      <c r="J95" s="42">
        <f>April!N95</f>
        <v>0</v>
      </c>
      <c r="K95" s="46">
        <f>K96</f>
        <v>0</v>
      </c>
      <c r="L95" s="109">
        <f t="shared" ref="L95:L103" si="25">K95/G95*100</f>
        <v>0</v>
      </c>
      <c r="M95" s="39">
        <f t="shared" ref="M95:M103" si="26">I95+K95</f>
        <v>0</v>
      </c>
      <c r="N95" s="43">
        <f t="shared" ref="N95:N103" si="27">M95/G95*100</f>
        <v>0</v>
      </c>
      <c r="O95" s="44"/>
      <c r="P95" s="39">
        <f t="shared" si="23"/>
        <v>23923000</v>
      </c>
    </row>
    <row r="96" spans="1:16" s="106" customFormat="1" ht="42.75" customHeight="1">
      <c r="A96" s="5">
        <v>2</v>
      </c>
      <c r="B96" s="5">
        <v>14</v>
      </c>
      <c r="C96" s="5">
        <v>3</v>
      </c>
      <c r="D96" s="6" t="s">
        <v>7</v>
      </c>
      <c r="E96" s="5"/>
      <c r="F96" s="167" t="s">
        <v>128</v>
      </c>
      <c r="G96" s="45">
        <f>G97</f>
        <v>23923000</v>
      </c>
      <c r="H96" s="9">
        <f t="shared" si="24"/>
        <v>1.6044185468144297E-3</v>
      </c>
      <c r="I96" s="8">
        <f>April!M96</f>
        <v>0</v>
      </c>
      <c r="J96" s="11">
        <f>April!N96</f>
        <v>0</v>
      </c>
      <c r="K96" s="45">
        <f>K97</f>
        <v>0</v>
      </c>
      <c r="L96" s="108">
        <f t="shared" si="25"/>
        <v>0</v>
      </c>
      <c r="M96" s="8">
        <f t="shared" si="26"/>
        <v>0</v>
      </c>
      <c r="N96" s="12">
        <f t="shared" si="27"/>
        <v>0</v>
      </c>
      <c r="O96" s="13"/>
      <c r="P96" s="8">
        <f t="shared" si="23"/>
        <v>23923000</v>
      </c>
    </row>
    <row r="97" spans="1:16" s="3" customFormat="1" ht="38.25" customHeight="1">
      <c r="A97" s="14">
        <v>2</v>
      </c>
      <c r="B97" s="14">
        <v>14</v>
      </c>
      <c r="C97" s="14">
        <v>3</v>
      </c>
      <c r="D97" s="15" t="s">
        <v>7</v>
      </c>
      <c r="E97" s="14">
        <v>2</v>
      </c>
      <c r="F97" s="166" t="s">
        <v>157</v>
      </c>
      <c r="G97" s="17">
        <v>23923000</v>
      </c>
      <c r="H97" s="18">
        <f t="shared" si="24"/>
        <v>1.6044185468144297E-3</v>
      </c>
      <c r="I97" s="21">
        <f>April!M97</f>
        <v>0</v>
      </c>
      <c r="J97" s="190">
        <f>April!N97</f>
        <v>0</v>
      </c>
      <c r="K97" s="21">
        <v>0</v>
      </c>
      <c r="L97" s="20">
        <f t="shared" si="25"/>
        <v>0</v>
      </c>
      <c r="M97" s="30">
        <f t="shared" si="26"/>
        <v>0</v>
      </c>
      <c r="N97" s="29">
        <f t="shared" si="27"/>
        <v>0</v>
      </c>
      <c r="O97" s="22"/>
      <c r="P97" s="21">
        <f t="shared" si="23"/>
        <v>23923000</v>
      </c>
    </row>
    <row r="98" spans="1:16" s="49" customFormat="1" ht="26.25" customHeight="1">
      <c r="A98" s="36">
        <v>2</v>
      </c>
      <c r="B98" s="36">
        <v>14</v>
      </c>
      <c r="C98" s="36">
        <v>4</v>
      </c>
      <c r="D98" s="37"/>
      <c r="E98" s="36"/>
      <c r="F98" s="38" t="s">
        <v>9</v>
      </c>
      <c r="G98" s="46">
        <f>G99+G102</f>
        <v>496900000</v>
      </c>
      <c r="H98" s="40">
        <f t="shared" si="24"/>
        <v>3.3325066919370067E-2</v>
      </c>
      <c r="I98" s="39">
        <f>April!M98</f>
        <v>0</v>
      </c>
      <c r="J98" s="42">
        <f>April!N98</f>
        <v>0</v>
      </c>
      <c r="K98" s="46">
        <f>K99+K102</f>
        <v>0</v>
      </c>
      <c r="L98" s="109">
        <f t="shared" si="25"/>
        <v>0</v>
      </c>
      <c r="M98" s="39">
        <f t="shared" si="26"/>
        <v>0</v>
      </c>
      <c r="N98" s="43">
        <f t="shared" si="27"/>
        <v>0</v>
      </c>
      <c r="O98" s="48"/>
      <c r="P98" s="39">
        <f t="shared" si="23"/>
        <v>496900000</v>
      </c>
    </row>
    <row r="99" spans="1:16" s="106" customFormat="1" ht="40.5" customHeight="1">
      <c r="A99" s="5">
        <v>2</v>
      </c>
      <c r="B99" s="5">
        <v>14</v>
      </c>
      <c r="C99" s="5">
        <v>4</v>
      </c>
      <c r="D99" s="6" t="s">
        <v>8</v>
      </c>
      <c r="E99" s="5"/>
      <c r="F99" s="7" t="s">
        <v>90</v>
      </c>
      <c r="G99" s="45">
        <f>G100+G101</f>
        <v>469750000</v>
      </c>
      <c r="H99" s="9">
        <f t="shared" si="24"/>
        <v>3.1504226575516381E-2</v>
      </c>
      <c r="I99" s="8">
        <f>April!M99</f>
        <v>0</v>
      </c>
      <c r="J99" s="11">
        <f>April!N99</f>
        <v>0</v>
      </c>
      <c r="K99" s="45">
        <f>K100</f>
        <v>0</v>
      </c>
      <c r="L99" s="108">
        <f t="shared" si="25"/>
        <v>0</v>
      </c>
      <c r="M99" s="8">
        <f t="shared" si="26"/>
        <v>0</v>
      </c>
      <c r="N99" s="12">
        <f t="shared" si="27"/>
        <v>0</v>
      </c>
      <c r="O99" s="27"/>
      <c r="P99" s="8">
        <f t="shared" si="23"/>
        <v>469750000</v>
      </c>
    </row>
    <row r="100" spans="1:16" s="3" customFormat="1" ht="35.25" customHeight="1">
      <c r="A100" s="14">
        <v>2</v>
      </c>
      <c r="B100" s="14">
        <v>14</v>
      </c>
      <c r="C100" s="14">
        <v>4</v>
      </c>
      <c r="D100" s="15" t="s">
        <v>8</v>
      </c>
      <c r="E100" s="14">
        <v>17</v>
      </c>
      <c r="F100" s="166" t="s">
        <v>129</v>
      </c>
      <c r="G100" s="17">
        <v>316150000</v>
      </c>
      <c r="H100" s="18">
        <f t="shared" si="24"/>
        <v>2.120289777934966E-2</v>
      </c>
      <c r="I100" s="21">
        <f>April!M100</f>
        <v>0</v>
      </c>
      <c r="J100" s="190">
        <f>April!N100</f>
        <v>0</v>
      </c>
      <c r="K100" s="21">
        <v>0</v>
      </c>
      <c r="L100" s="20">
        <f t="shared" si="25"/>
        <v>0</v>
      </c>
      <c r="M100" s="30">
        <f t="shared" si="26"/>
        <v>0</v>
      </c>
      <c r="N100" s="29">
        <f t="shared" si="27"/>
        <v>0</v>
      </c>
      <c r="O100" s="23"/>
      <c r="P100" s="21">
        <f t="shared" si="23"/>
        <v>316150000</v>
      </c>
    </row>
    <row r="101" spans="1:16" s="3" customFormat="1" ht="28.5" customHeight="1">
      <c r="A101" s="14">
        <v>2</v>
      </c>
      <c r="B101" s="14">
        <v>14</v>
      </c>
      <c r="C101" s="14">
        <v>4</v>
      </c>
      <c r="D101" s="15" t="s">
        <v>8</v>
      </c>
      <c r="E101" s="14">
        <v>19</v>
      </c>
      <c r="F101" s="166" t="s">
        <v>158</v>
      </c>
      <c r="G101" s="17">
        <v>153600000</v>
      </c>
      <c r="H101" s="18">
        <f t="shared" si="24"/>
        <v>1.0301328796166718E-2</v>
      </c>
      <c r="I101" s="21">
        <f>April!M101</f>
        <v>0</v>
      </c>
      <c r="J101" s="190">
        <f>April!N101</f>
        <v>0</v>
      </c>
      <c r="K101" s="21"/>
      <c r="L101" s="20"/>
      <c r="M101" s="30"/>
      <c r="N101" s="29"/>
      <c r="O101" s="23"/>
      <c r="P101" s="21"/>
    </row>
    <row r="102" spans="1:16" s="106" customFormat="1" ht="47.25" customHeight="1">
      <c r="A102" s="5">
        <v>2</v>
      </c>
      <c r="B102" s="5">
        <v>14</v>
      </c>
      <c r="C102" s="5">
        <v>4</v>
      </c>
      <c r="D102" s="6" t="s">
        <v>7</v>
      </c>
      <c r="E102" s="5"/>
      <c r="F102" s="7" t="s">
        <v>6</v>
      </c>
      <c r="G102" s="26">
        <f>G103</f>
        <v>27150000</v>
      </c>
      <c r="H102" s="9">
        <f t="shared" si="24"/>
        <v>1.8208403438536875E-3</v>
      </c>
      <c r="I102" s="8">
        <f>April!M102</f>
        <v>0</v>
      </c>
      <c r="J102" s="11">
        <f>April!N102</f>
        <v>0</v>
      </c>
      <c r="K102" s="26">
        <f>K103</f>
        <v>0</v>
      </c>
      <c r="L102" s="108">
        <f t="shared" si="25"/>
        <v>0</v>
      </c>
      <c r="M102" s="8">
        <f t="shared" si="26"/>
        <v>0</v>
      </c>
      <c r="N102" s="12">
        <f t="shared" si="27"/>
        <v>0</v>
      </c>
      <c r="O102" s="27"/>
      <c r="P102" s="8">
        <f t="shared" si="23"/>
        <v>27150000</v>
      </c>
    </row>
    <row r="103" spans="1:16" s="3" customFormat="1" ht="60.75" customHeight="1">
      <c r="A103" s="14">
        <v>2</v>
      </c>
      <c r="B103" s="14">
        <v>14</v>
      </c>
      <c r="C103" s="14">
        <v>4</v>
      </c>
      <c r="D103" s="15" t="s">
        <v>7</v>
      </c>
      <c r="E103" s="14">
        <v>8</v>
      </c>
      <c r="F103" s="166" t="s">
        <v>130</v>
      </c>
      <c r="G103" s="25">
        <v>27150000</v>
      </c>
      <c r="H103" s="18">
        <f t="shared" si="24"/>
        <v>1.8208403438536875E-3</v>
      </c>
      <c r="I103" s="21">
        <f>April!M103</f>
        <v>0</v>
      </c>
      <c r="J103" s="190">
        <f>April!N103</f>
        <v>0</v>
      </c>
      <c r="K103" s="21">
        <v>0</v>
      </c>
      <c r="L103" s="20">
        <f t="shared" si="25"/>
        <v>0</v>
      </c>
      <c r="M103" s="30">
        <f t="shared" si="26"/>
        <v>0</v>
      </c>
      <c r="N103" s="29">
        <f t="shared" si="27"/>
        <v>0</v>
      </c>
      <c r="O103" s="23"/>
      <c r="P103" s="21">
        <f t="shared" si="23"/>
        <v>27150000</v>
      </c>
    </row>
    <row r="104" spans="1:16" s="3" customFormat="1" ht="31.5" customHeight="1">
      <c r="A104" s="130"/>
      <c r="B104" s="130"/>
      <c r="C104" s="130"/>
      <c r="D104" s="131"/>
      <c r="E104" s="130"/>
      <c r="F104" s="141" t="s">
        <v>101</v>
      </c>
      <c r="G104" s="142">
        <f>G105+G113+G116</f>
        <v>2677601700</v>
      </c>
      <c r="H104" s="132"/>
      <c r="I104" s="138">
        <f>April!M104</f>
        <v>0</v>
      </c>
      <c r="J104" s="134">
        <f>April!N104</f>
        <v>0</v>
      </c>
      <c r="K104" s="136"/>
      <c r="L104" s="135"/>
      <c r="M104" s="138"/>
      <c r="N104" s="139"/>
      <c r="O104" s="137"/>
      <c r="P104" s="136"/>
    </row>
    <row r="105" spans="1:16" s="49" customFormat="1" ht="27.75" customHeight="1">
      <c r="A105" s="36">
        <v>2</v>
      </c>
      <c r="B105" s="36">
        <v>8</v>
      </c>
      <c r="C105" s="36">
        <v>1</v>
      </c>
      <c r="D105" s="37"/>
      <c r="E105" s="36"/>
      <c r="F105" s="38" t="s">
        <v>5</v>
      </c>
      <c r="G105" s="46">
        <f>G106+G110</f>
        <v>317209700</v>
      </c>
      <c r="H105" s="40">
        <f>+G105/$G$119*100%</f>
        <v>2.1273967558811235E-2</v>
      </c>
      <c r="I105" s="39">
        <f>April!M105</f>
        <v>97121571</v>
      </c>
      <c r="J105" s="42">
        <f>April!N105</f>
        <v>30.617465670186</v>
      </c>
      <c r="K105" s="46">
        <f>K106+K110</f>
        <v>23521500</v>
      </c>
      <c r="L105" s="43">
        <f>K105/G105*100</f>
        <v>7.4151263344090683</v>
      </c>
      <c r="M105" s="39">
        <f>I105+K105</f>
        <v>120643071</v>
      </c>
      <c r="N105" s="43">
        <f>M105/G105*100</f>
        <v>38.032592004595067</v>
      </c>
      <c r="O105" s="44"/>
      <c r="P105" s="39">
        <f t="shared" ref="P105:P118" si="28">G105-M105</f>
        <v>196566629</v>
      </c>
    </row>
    <row r="106" spans="1:16" s="106" customFormat="1" ht="27.75" customHeight="1">
      <c r="A106" s="5">
        <v>2</v>
      </c>
      <c r="B106" s="5">
        <v>8</v>
      </c>
      <c r="C106" s="5">
        <v>1</v>
      </c>
      <c r="D106" s="6" t="s">
        <v>24</v>
      </c>
      <c r="E106" s="5"/>
      <c r="F106" s="7" t="s">
        <v>4</v>
      </c>
      <c r="G106" s="45">
        <f>SUM(G107:G109)</f>
        <v>11797700</v>
      </c>
      <c r="H106" s="9">
        <f>+G106/$G$119*100%</f>
        <v>7.9122387199567767E-4</v>
      </c>
      <c r="I106" s="8">
        <f>April!M106</f>
        <v>661600</v>
      </c>
      <c r="J106" s="11">
        <f>April!N106</f>
        <v>5.6078727209540844</v>
      </c>
      <c r="K106" s="45">
        <f>K108+K109</f>
        <v>0</v>
      </c>
      <c r="L106" s="12">
        <f>K106/G106*100</f>
        <v>0</v>
      </c>
      <c r="M106" s="8">
        <f>I106+K106</f>
        <v>661600</v>
      </c>
      <c r="N106" s="12">
        <f>M106/G106*100</f>
        <v>5.6078727209540844</v>
      </c>
      <c r="O106" s="27"/>
      <c r="P106" s="8">
        <f t="shared" si="28"/>
        <v>11136100</v>
      </c>
    </row>
    <row r="107" spans="1:16" s="106" customFormat="1" ht="27.75" customHeight="1">
      <c r="A107" s="14">
        <v>2</v>
      </c>
      <c r="B107" s="14">
        <v>8</v>
      </c>
      <c r="C107" s="14">
        <v>1</v>
      </c>
      <c r="D107" s="15" t="s">
        <v>24</v>
      </c>
      <c r="E107" s="14">
        <v>1</v>
      </c>
      <c r="F107" s="16" t="s">
        <v>60</v>
      </c>
      <c r="G107" s="17">
        <v>1706000</v>
      </c>
      <c r="H107" s="18">
        <f>+G107/$G$119*100%</f>
        <v>1.1441449821784128E-4</v>
      </c>
      <c r="I107" s="21">
        <f>April!M107</f>
        <v>0</v>
      </c>
      <c r="J107" s="190">
        <f>April!N107</f>
        <v>0</v>
      </c>
      <c r="K107" s="21">
        <v>0</v>
      </c>
      <c r="L107" s="20">
        <f>K107/G107*100</f>
        <v>0</v>
      </c>
      <c r="M107" s="30">
        <f>I107+K107</f>
        <v>0</v>
      </c>
      <c r="N107" s="29">
        <f>M107/G107*100</f>
        <v>0</v>
      </c>
      <c r="O107" s="23"/>
      <c r="P107" s="21">
        <f t="shared" si="28"/>
        <v>1706000</v>
      </c>
    </row>
    <row r="108" spans="1:16" s="3" customFormat="1" ht="27.75" customHeight="1">
      <c r="A108" s="14">
        <v>2</v>
      </c>
      <c r="B108" s="14">
        <v>8</v>
      </c>
      <c r="C108" s="14">
        <v>1</v>
      </c>
      <c r="D108" s="15" t="s">
        <v>24</v>
      </c>
      <c r="E108" s="14">
        <v>2</v>
      </c>
      <c r="F108" s="16" t="s">
        <v>61</v>
      </c>
      <c r="G108" s="17">
        <v>8794500</v>
      </c>
      <c r="H108" s="18">
        <f>+G108/$G$119*100%</f>
        <v>5.8981143292895959E-4</v>
      </c>
      <c r="I108" s="21">
        <f>April!M108</f>
        <v>358000</v>
      </c>
      <c r="J108" s="190">
        <f>April!N108</f>
        <v>4.0707260219455348</v>
      </c>
      <c r="K108" s="21"/>
      <c r="L108" s="20">
        <f>K108/G108*100</f>
        <v>0</v>
      </c>
      <c r="M108" s="21">
        <f>I108+K108</f>
        <v>358000</v>
      </c>
      <c r="N108" s="20">
        <f>M108/G108*100</f>
        <v>4.0707260219455348</v>
      </c>
      <c r="O108" s="23"/>
      <c r="P108" s="21">
        <f t="shared" si="28"/>
        <v>8436500</v>
      </c>
    </row>
    <row r="109" spans="1:16" s="3" customFormat="1" ht="27.75" customHeight="1">
      <c r="A109" s="14">
        <v>2</v>
      </c>
      <c r="B109" s="14">
        <v>8</v>
      </c>
      <c r="C109" s="14">
        <v>1</v>
      </c>
      <c r="D109" s="15" t="s">
        <v>24</v>
      </c>
      <c r="E109" s="14">
        <v>5</v>
      </c>
      <c r="F109" s="16" t="s">
        <v>62</v>
      </c>
      <c r="G109" s="17">
        <v>1297200</v>
      </c>
      <c r="H109" s="18">
        <f>+G109/$G$119*100%</f>
        <v>8.6997940848876733E-5</v>
      </c>
      <c r="I109" s="21">
        <f>April!M109</f>
        <v>303600</v>
      </c>
      <c r="J109" s="190">
        <f>April!N109</f>
        <v>23.404255319148938</v>
      </c>
      <c r="K109" s="21"/>
      <c r="L109" s="20">
        <f>K109/G109*100</f>
        <v>0</v>
      </c>
      <c r="M109" s="21">
        <f>I109+K109</f>
        <v>303600</v>
      </c>
      <c r="N109" s="20">
        <f>M109/G109*100</f>
        <v>23.404255319148938</v>
      </c>
      <c r="O109" s="23"/>
      <c r="P109" s="21">
        <f>G109-M109</f>
        <v>993600</v>
      </c>
    </row>
    <row r="110" spans="1:16" s="106" customFormat="1" ht="27.75" customHeight="1">
      <c r="A110" s="5">
        <v>2</v>
      </c>
      <c r="B110" s="5">
        <v>8</v>
      </c>
      <c r="C110" s="5">
        <v>1</v>
      </c>
      <c r="D110" s="6" t="s">
        <v>23</v>
      </c>
      <c r="E110" s="5"/>
      <c r="F110" s="7" t="s">
        <v>3</v>
      </c>
      <c r="G110" s="45">
        <f>G111+G112</f>
        <v>305412000</v>
      </c>
      <c r="H110" s="9">
        <f t="shared" ref="H110:H119" si="29">+G110/$G$119*100%</f>
        <v>2.0482743686815557E-2</v>
      </c>
      <c r="I110" s="8">
        <f>April!M110</f>
        <v>96459971</v>
      </c>
      <c r="J110" s="11">
        <f>April!N110</f>
        <v>31.583556310819482</v>
      </c>
      <c r="K110" s="45">
        <f>K111+K112</f>
        <v>23521500</v>
      </c>
      <c r="L110" s="12">
        <f t="shared" ref="L110:L119" si="30">K110/G110*100</f>
        <v>7.7015637892420736</v>
      </c>
      <c r="M110" s="8">
        <f t="shared" ref="M110:M118" si="31">I110+K110</f>
        <v>119981471</v>
      </c>
      <c r="N110" s="12">
        <f t="shared" ref="N110:N119" si="32">M110/G110*100</f>
        <v>39.285120100061555</v>
      </c>
      <c r="O110" s="13"/>
      <c r="P110" s="8">
        <f t="shared" si="28"/>
        <v>185430529</v>
      </c>
    </row>
    <row r="111" spans="1:16" s="3" customFormat="1" ht="27.75" customHeight="1">
      <c r="A111" s="14">
        <v>2</v>
      </c>
      <c r="B111" s="14">
        <v>8</v>
      </c>
      <c r="C111" s="14">
        <v>1</v>
      </c>
      <c r="D111" s="15" t="s">
        <v>23</v>
      </c>
      <c r="E111" s="14">
        <v>2</v>
      </c>
      <c r="F111" s="16" t="s">
        <v>87</v>
      </c>
      <c r="G111" s="17">
        <v>22020000</v>
      </c>
      <c r="H111" s="18">
        <f t="shared" si="29"/>
        <v>1.4767920578879631E-3</v>
      </c>
      <c r="I111" s="21">
        <f>April!M111</f>
        <v>2373971</v>
      </c>
      <c r="J111" s="190">
        <f>April!N111</f>
        <v>10.78097638510445</v>
      </c>
      <c r="K111" s="24"/>
      <c r="L111" s="20">
        <f t="shared" si="30"/>
        <v>0</v>
      </c>
      <c r="M111" s="21">
        <f t="shared" si="31"/>
        <v>2373971</v>
      </c>
      <c r="N111" s="20">
        <f t="shared" si="32"/>
        <v>10.78097638510445</v>
      </c>
      <c r="O111" s="22"/>
      <c r="P111" s="21">
        <f t="shared" si="28"/>
        <v>19646029</v>
      </c>
    </row>
    <row r="112" spans="1:16" s="3" customFormat="1" ht="27.75" customHeight="1">
      <c r="A112" s="14">
        <v>2</v>
      </c>
      <c r="B112" s="14">
        <v>8</v>
      </c>
      <c r="C112" s="14">
        <v>1</v>
      </c>
      <c r="D112" s="15" t="s">
        <v>23</v>
      </c>
      <c r="E112" s="14">
        <v>4</v>
      </c>
      <c r="F112" s="16" t="s">
        <v>68</v>
      </c>
      <c r="G112" s="17">
        <v>283392000</v>
      </c>
      <c r="H112" s="18">
        <f t="shared" si="29"/>
        <v>1.9005951628927594E-2</v>
      </c>
      <c r="I112" s="21">
        <f>April!M112</f>
        <v>94086000</v>
      </c>
      <c r="J112" s="190">
        <f>April!N112</f>
        <v>33.199949186991866</v>
      </c>
      <c r="K112" s="21">
        <f>23400000+121500</f>
        <v>23521500</v>
      </c>
      <c r="L112" s="20">
        <f t="shared" si="30"/>
        <v>8.2999872967479664</v>
      </c>
      <c r="M112" s="21">
        <f t="shared" si="31"/>
        <v>117607500</v>
      </c>
      <c r="N112" s="20">
        <f t="shared" si="32"/>
        <v>41.499936483739837</v>
      </c>
      <c r="O112" s="22"/>
      <c r="P112" s="21">
        <f t="shared" si="28"/>
        <v>165784500</v>
      </c>
    </row>
    <row r="113" spans="1:16" s="49" customFormat="1" ht="27.75" customHeight="1">
      <c r="A113" s="36">
        <v>2</v>
      </c>
      <c r="B113" s="36">
        <v>8</v>
      </c>
      <c r="C113" s="36">
        <v>3</v>
      </c>
      <c r="D113" s="37"/>
      <c r="E113" s="36"/>
      <c r="F113" s="38" t="s">
        <v>91</v>
      </c>
      <c r="G113" s="46">
        <f>G114</f>
        <v>2177844000</v>
      </c>
      <c r="H113" s="40">
        <f t="shared" si="29"/>
        <v>0.14605916087733664</v>
      </c>
      <c r="I113" s="39">
        <f>April!M113</f>
        <v>13623856</v>
      </c>
      <c r="J113" s="42">
        <f>April!N113</f>
        <v>0.62556620217058712</v>
      </c>
      <c r="K113" s="46">
        <f>K114</f>
        <v>0</v>
      </c>
      <c r="L113" s="43">
        <f t="shared" si="30"/>
        <v>0</v>
      </c>
      <c r="M113" s="39">
        <f t="shared" si="31"/>
        <v>13623856</v>
      </c>
      <c r="N113" s="43">
        <f t="shared" si="32"/>
        <v>0.62556620217058712</v>
      </c>
      <c r="O113" s="44"/>
      <c r="P113" s="39">
        <f t="shared" si="28"/>
        <v>2164220144</v>
      </c>
    </row>
    <row r="114" spans="1:16" s="106" customFormat="1" ht="40.5" customHeight="1">
      <c r="A114" s="5">
        <v>2</v>
      </c>
      <c r="B114" s="5">
        <v>8</v>
      </c>
      <c r="C114" s="5">
        <v>3</v>
      </c>
      <c r="D114" s="6" t="s">
        <v>7</v>
      </c>
      <c r="E114" s="5"/>
      <c r="F114" s="7" t="s">
        <v>47</v>
      </c>
      <c r="G114" s="45">
        <f>G115</f>
        <v>2177844000</v>
      </c>
      <c r="H114" s="9">
        <f t="shared" si="29"/>
        <v>0.14605916087733664</v>
      </c>
      <c r="I114" s="8">
        <f>April!M114</f>
        <v>13623856</v>
      </c>
      <c r="J114" s="11">
        <f>April!N114</f>
        <v>0.62556620217058712</v>
      </c>
      <c r="K114" s="45">
        <f>K115</f>
        <v>0</v>
      </c>
      <c r="L114" s="12">
        <f t="shared" si="30"/>
        <v>0</v>
      </c>
      <c r="M114" s="8">
        <f t="shared" si="31"/>
        <v>13623856</v>
      </c>
      <c r="N114" s="12">
        <f t="shared" si="32"/>
        <v>0.62556620217058712</v>
      </c>
      <c r="O114" s="13"/>
      <c r="P114" s="8">
        <f t="shared" si="28"/>
        <v>2164220144</v>
      </c>
    </row>
    <row r="115" spans="1:16" s="3" customFormat="1" ht="36" customHeight="1">
      <c r="A115" s="14">
        <v>2</v>
      </c>
      <c r="B115" s="14">
        <v>8</v>
      </c>
      <c r="C115" s="14">
        <v>3</v>
      </c>
      <c r="D115" s="15" t="s">
        <v>7</v>
      </c>
      <c r="E115" s="14">
        <v>2</v>
      </c>
      <c r="F115" s="16" t="s">
        <v>74</v>
      </c>
      <c r="G115" s="17">
        <v>2177844000</v>
      </c>
      <c r="H115" s="18">
        <f t="shared" si="29"/>
        <v>0.14605916087733664</v>
      </c>
      <c r="I115" s="21">
        <f>April!M115</f>
        <v>13623856</v>
      </c>
      <c r="J115" s="190">
        <f>April!N115</f>
        <v>0.62556620217058712</v>
      </c>
      <c r="K115" s="21"/>
      <c r="L115" s="20">
        <f t="shared" si="30"/>
        <v>0</v>
      </c>
      <c r="M115" s="21">
        <f t="shared" si="31"/>
        <v>13623856</v>
      </c>
      <c r="N115" s="20">
        <f t="shared" si="32"/>
        <v>0.62556620217058712</v>
      </c>
      <c r="O115" s="22"/>
      <c r="P115" s="21">
        <f t="shared" si="28"/>
        <v>2164220144</v>
      </c>
    </row>
    <row r="116" spans="1:16" s="49" customFormat="1" ht="26.25" customHeight="1">
      <c r="A116" s="36">
        <v>2</v>
      </c>
      <c r="B116" s="36">
        <v>8</v>
      </c>
      <c r="C116" s="36">
        <v>7</v>
      </c>
      <c r="D116" s="37"/>
      <c r="E116" s="36"/>
      <c r="F116" s="38" t="s">
        <v>92</v>
      </c>
      <c r="G116" s="46">
        <f>G117</f>
        <v>182548000</v>
      </c>
      <c r="H116" s="40">
        <f t="shared" si="29"/>
        <v>1.2242753704965118E-2</v>
      </c>
      <c r="I116" s="39">
        <f>April!M116</f>
        <v>8832000</v>
      </c>
      <c r="J116" s="42">
        <f>April!N116</f>
        <v>4.8381795472971492</v>
      </c>
      <c r="K116" s="46">
        <f>K117</f>
        <v>0</v>
      </c>
      <c r="L116" s="43">
        <f t="shared" si="30"/>
        <v>0</v>
      </c>
      <c r="M116" s="39">
        <f t="shared" si="31"/>
        <v>8832000</v>
      </c>
      <c r="N116" s="43">
        <f t="shared" si="32"/>
        <v>4.8381795472971492</v>
      </c>
      <c r="O116" s="44"/>
      <c r="P116" s="39">
        <f t="shared" si="28"/>
        <v>173716000</v>
      </c>
    </row>
    <row r="117" spans="1:16" s="106" customFormat="1" ht="40.5" customHeight="1">
      <c r="A117" s="5">
        <v>2</v>
      </c>
      <c r="B117" s="5">
        <v>8</v>
      </c>
      <c r="C117" s="5">
        <v>7</v>
      </c>
      <c r="D117" s="6" t="s">
        <v>7</v>
      </c>
      <c r="E117" s="5"/>
      <c r="F117" s="7" t="s">
        <v>1</v>
      </c>
      <c r="G117" s="45">
        <f>G118</f>
        <v>182548000</v>
      </c>
      <c r="H117" s="9">
        <f t="shared" si="29"/>
        <v>1.2242753704965118E-2</v>
      </c>
      <c r="I117" s="8">
        <f>April!M117</f>
        <v>8832000</v>
      </c>
      <c r="J117" s="11">
        <f>April!N117</f>
        <v>4.8381795472971492</v>
      </c>
      <c r="K117" s="45">
        <f>K118</f>
        <v>0</v>
      </c>
      <c r="L117" s="12">
        <f t="shared" si="30"/>
        <v>0</v>
      </c>
      <c r="M117" s="8">
        <f t="shared" si="31"/>
        <v>8832000</v>
      </c>
      <c r="N117" s="12">
        <f t="shared" si="32"/>
        <v>4.8381795472971492</v>
      </c>
      <c r="O117" s="13"/>
      <c r="P117" s="8">
        <f t="shared" si="28"/>
        <v>173716000</v>
      </c>
    </row>
    <row r="118" spans="1:16" s="3" customFormat="1" ht="30" customHeight="1">
      <c r="A118" s="14">
        <v>2</v>
      </c>
      <c r="B118" s="14">
        <v>8</v>
      </c>
      <c r="C118" s="14">
        <v>7</v>
      </c>
      <c r="D118" s="15" t="s">
        <v>7</v>
      </c>
      <c r="E118" s="14">
        <v>7</v>
      </c>
      <c r="F118" s="166" t="s">
        <v>127</v>
      </c>
      <c r="G118" s="17">
        <v>182548000</v>
      </c>
      <c r="H118" s="18">
        <f t="shared" si="29"/>
        <v>1.2242753704965118E-2</v>
      </c>
      <c r="I118" s="21">
        <f>April!M118</f>
        <v>8832000</v>
      </c>
      <c r="J118" s="190">
        <f>April!N118</f>
        <v>4.8381795472971492</v>
      </c>
      <c r="K118" s="21"/>
      <c r="L118" s="20">
        <f t="shared" si="30"/>
        <v>0</v>
      </c>
      <c r="M118" s="21">
        <f t="shared" si="31"/>
        <v>8832000</v>
      </c>
      <c r="N118" s="20">
        <f t="shared" si="32"/>
        <v>4.8381795472971492</v>
      </c>
      <c r="O118" s="22"/>
      <c r="P118" s="21">
        <f t="shared" si="28"/>
        <v>173716000</v>
      </c>
    </row>
    <row r="119" spans="1:16" s="58" customFormat="1" ht="22.5" customHeight="1">
      <c r="A119" s="50"/>
      <c r="B119" s="50"/>
      <c r="C119" s="50"/>
      <c r="D119" s="51"/>
      <c r="E119" s="52"/>
      <c r="F119" s="53" t="s">
        <v>48</v>
      </c>
      <c r="G119" s="54">
        <f>G16+G55+G61+G67+G72+G76+G83+G89+G95+G98+G105+G113+G116</f>
        <v>14910697740</v>
      </c>
      <c r="H119" s="114">
        <f t="shared" si="29"/>
        <v>1</v>
      </c>
      <c r="I119" s="116">
        <f>April!M119</f>
        <v>2590551922</v>
      </c>
      <c r="J119" s="55">
        <f>April!N119</f>
        <v>17.373780671916432</v>
      </c>
      <c r="K119" s="54">
        <f>K16+K55+K61+K67+K72+K76+K83+K89+K95+K98+K105+K113+K116</f>
        <v>337684190</v>
      </c>
      <c r="L119" s="56">
        <f t="shared" si="30"/>
        <v>2.2647108531622613</v>
      </c>
      <c r="M119" s="54">
        <f>M16+M55+M61+M67+M72+M76+M83+M89+M95+M98+M105+M113+M116</f>
        <v>2928236112</v>
      </c>
      <c r="N119" s="56">
        <f t="shared" si="32"/>
        <v>19.638491525078692</v>
      </c>
      <c r="O119" s="57"/>
      <c r="P119" s="116">
        <f>G119-M119</f>
        <v>11982461628</v>
      </c>
    </row>
    <row r="120" spans="1:16" s="4" customFormat="1" ht="18" customHeight="1">
      <c r="A120" s="118"/>
      <c r="B120" s="118"/>
      <c r="C120" s="118"/>
      <c r="D120" s="119"/>
      <c r="E120" s="120"/>
      <c r="F120" s="33" t="s">
        <v>95</v>
      </c>
      <c r="G120" s="128">
        <f>G16</f>
        <v>9332143890</v>
      </c>
      <c r="H120" s="122"/>
      <c r="I120" s="121"/>
      <c r="J120" s="123"/>
      <c r="K120" s="121" t="s">
        <v>192</v>
      </c>
      <c r="L120" s="124"/>
      <c r="M120" s="126"/>
      <c r="N120" s="124"/>
      <c r="O120" s="125"/>
      <c r="P120" s="126"/>
    </row>
    <row r="121" spans="1:16" s="4" customFormat="1" ht="15.75" customHeight="1">
      <c r="A121" s="118"/>
      <c r="B121" s="118"/>
      <c r="C121" s="118"/>
      <c r="D121" s="119"/>
      <c r="E121" s="120"/>
      <c r="F121" s="33" t="s">
        <v>96</v>
      </c>
      <c r="G121" s="128">
        <f>G76</f>
        <v>429820700</v>
      </c>
      <c r="H121" s="187"/>
      <c r="I121" s="188"/>
      <c r="J121" s="189"/>
      <c r="K121" s="121"/>
      <c r="L121" s="124"/>
      <c r="M121" s="126"/>
      <c r="N121" s="124"/>
      <c r="O121" s="125"/>
      <c r="P121" s="126"/>
    </row>
    <row r="122" spans="1:16" s="3" customFormat="1">
      <c r="A122" s="77"/>
      <c r="B122" s="78"/>
      <c r="C122" s="78"/>
      <c r="D122" s="31"/>
      <c r="E122" s="32"/>
      <c r="F122" s="127" t="s">
        <v>97</v>
      </c>
      <c r="G122" s="128">
        <f>G83</f>
        <v>690942900</v>
      </c>
      <c r="H122" s="172" t="s">
        <v>133</v>
      </c>
      <c r="I122" s="170">
        <v>337684190</v>
      </c>
      <c r="J122" s="174"/>
      <c r="K122" s="80"/>
      <c r="L122" s="80"/>
      <c r="M122" s="244" t="s">
        <v>188</v>
      </c>
      <c r="N122" s="244"/>
      <c r="O122" s="244"/>
      <c r="P122" s="80"/>
    </row>
    <row r="123" spans="1:16" s="3" customFormat="1" ht="17.25" customHeight="1">
      <c r="A123" s="32"/>
      <c r="B123" s="82"/>
      <c r="C123" s="78"/>
      <c r="D123" s="83"/>
      <c r="E123" s="80"/>
      <c r="F123" s="178" t="s">
        <v>98</v>
      </c>
      <c r="G123" s="155">
        <f>G61</f>
        <v>389086600</v>
      </c>
      <c r="H123" s="175" t="s">
        <v>134</v>
      </c>
      <c r="I123" s="170">
        <v>0</v>
      </c>
      <c r="J123" s="174"/>
      <c r="K123" s="80"/>
      <c r="L123" s="80"/>
      <c r="M123" s="250" t="s">
        <v>139</v>
      </c>
      <c r="N123" s="250"/>
      <c r="O123" s="250"/>
      <c r="P123" s="85" t="s">
        <v>0</v>
      </c>
    </row>
    <row r="124" spans="1:16" s="3" customFormat="1" ht="18" customHeight="1">
      <c r="A124" s="32"/>
      <c r="B124" s="82"/>
      <c r="C124" s="78"/>
      <c r="D124" s="83"/>
      <c r="E124" s="32"/>
      <c r="F124" s="179" t="s">
        <v>99</v>
      </c>
      <c r="G124" s="154">
        <f>G54</f>
        <v>637720000</v>
      </c>
      <c r="H124" s="176"/>
      <c r="I124" s="174"/>
      <c r="J124" s="174"/>
      <c r="K124" s="80"/>
      <c r="L124" s="80"/>
      <c r="M124" s="251"/>
      <c r="N124" s="251"/>
      <c r="O124" s="251"/>
      <c r="P124" s="87"/>
    </row>
    <row r="125" spans="1:16" s="3" customFormat="1">
      <c r="A125" s="1"/>
      <c r="B125" s="88"/>
      <c r="C125" s="89"/>
      <c r="D125" s="90"/>
      <c r="E125" s="1"/>
      <c r="F125" s="180" t="s">
        <v>100</v>
      </c>
      <c r="G125" s="156">
        <f>G89+G95+G98</f>
        <v>753381950</v>
      </c>
      <c r="H125" s="91"/>
      <c r="I125" s="1"/>
      <c r="M125" s="246"/>
      <c r="N125" s="246"/>
      <c r="O125" s="246"/>
    </row>
    <row r="126" spans="1:16" s="3" customFormat="1">
      <c r="A126" s="1"/>
      <c r="B126" s="88"/>
      <c r="C126" s="89"/>
      <c r="D126" s="90"/>
      <c r="E126" s="1"/>
      <c r="F126" s="180" t="s">
        <v>101</v>
      </c>
      <c r="G126" s="157">
        <f>G105+G113+G116</f>
        <v>2677601700</v>
      </c>
      <c r="H126" s="91"/>
      <c r="I126" s="1"/>
      <c r="M126" s="245" t="s">
        <v>194</v>
      </c>
      <c r="N126" s="245"/>
      <c r="O126" s="245"/>
    </row>
    <row r="127" spans="1:16" s="3" customFormat="1" ht="15" customHeight="1">
      <c r="A127" s="1"/>
      <c r="B127" s="88"/>
      <c r="C127" s="89"/>
      <c r="D127" s="90"/>
      <c r="E127" s="1"/>
      <c r="F127" s="181" t="s">
        <v>102</v>
      </c>
      <c r="G127" s="158">
        <f>SUM(G120:G126)</f>
        <v>14910697740</v>
      </c>
      <c r="H127" s="91"/>
      <c r="I127" s="1"/>
      <c r="M127" s="242" t="s">
        <v>196</v>
      </c>
      <c r="N127" s="242"/>
      <c r="O127" s="242"/>
    </row>
    <row r="128" spans="1:16" s="3" customFormat="1" ht="15" customHeight="1">
      <c r="A128" s="1" t="s">
        <v>0</v>
      </c>
      <c r="B128" s="88"/>
      <c r="C128" s="89"/>
      <c r="D128" s="90"/>
      <c r="E128" s="1"/>
      <c r="F128" s="1"/>
      <c r="G128" s="158"/>
      <c r="H128" s="91"/>
      <c r="M128" s="242" t="s">
        <v>195</v>
      </c>
      <c r="N128" s="242"/>
      <c r="O128" s="242"/>
    </row>
    <row r="129" spans="1:8">
      <c r="A129" s="93"/>
      <c r="B129" s="94"/>
      <c r="C129" s="95"/>
      <c r="D129" s="96"/>
      <c r="E129" s="93"/>
      <c r="F129" s="93"/>
      <c r="G129" s="159"/>
      <c r="H129" s="98"/>
    </row>
    <row r="130" spans="1:8">
      <c r="A130" s="93"/>
      <c r="B130" s="94"/>
      <c r="C130" s="95"/>
      <c r="D130" s="96"/>
      <c r="E130" s="93"/>
      <c r="F130" s="93"/>
      <c r="G130" s="97"/>
      <c r="H130" s="98"/>
    </row>
    <row r="131" spans="1:8">
      <c r="A131" s="93"/>
      <c r="B131" s="94"/>
      <c r="C131" s="95"/>
      <c r="D131" s="96"/>
      <c r="E131" s="93"/>
      <c r="F131" s="93"/>
      <c r="G131" s="97"/>
      <c r="H131" s="98"/>
    </row>
  </sheetData>
  <mergeCells count="33">
    <mergeCell ref="M128:O128"/>
    <mergeCell ref="M122:O122"/>
    <mergeCell ref="M124:O124"/>
    <mergeCell ref="M125:O125"/>
    <mergeCell ref="M126:O126"/>
    <mergeCell ref="M127:O127"/>
    <mergeCell ref="M123:O12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0.95" right="0.7" top="0.75" bottom="0.75" header="0.3" footer="0.3"/>
  <pageSetup paperSize="5" scale="70" orientation="landscape" horizontalDpi="4294967292" verticalDpi="4294967295" r:id="rId1"/>
  <rowBreaks count="1" manualBreakCount="1">
    <brk id="130" max="17" man="1"/>
  </rowBreaks>
</worksheet>
</file>

<file path=xl/worksheets/sheet6.xml><?xml version="1.0" encoding="utf-8"?>
<worksheet xmlns="http://schemas.openxmlformats.org/spreadsheetml/2006/main" xmlns:r="http://schemas.openxmlformats.org/officeDocument/2006/relationships">
  <dimension ref="A1:R131"/>
  <sheetViews>
    <sheetView showGridLines="0" view="pageBreakPreview" topLeftCell="A73" zoomScaleNormal="100" zoomScaleSheetLayoutView="100" workbookViewId="0">
      <selection activeCell="I122" sqref="I122"/>
    </sheetView>
  </sheetViews>
  <sheetFormatPr defaultColWidth="9.140625" defaultRowHeight="15"/>
  <cols>
    <col min="1" max="1" width="2.85546875" style="99" customWidth="1"/>
    <col min="2" max="3" width="2.85546875" style="100" customWidth="1"/>
    <col min="4" max="4" width="4.42578125" style="101" customWidth="1"/>
    <col min="5" max="5" width="3.7109375" style="99" customWidth="1"/>
    <col min="6" max="6" width="68.140625" style="99" customWidth="1"/>
    <col min="7" max="7" width="17.28515625" style="102" customWidth="1"/>
    <col min="8" max="8" width="8.28515625" style="63" customWidth="1"/>
    <col min="9" max="9" width="14" style="64" customWidth="1"/>
    <col min="10" max="10" width="7.7109375" style="64" customWidth="1"/>
    <col min="11" max="11" width="15" style="64" customWidth="1"/>
    <col min="12" max="12" width="8.140625" style="64" customWidth="1"/>
    <col min="13" max="13" width="14.28515625" style="64" customWidth="1"/>
    <col min="14" max="14" width="7.42578125" style="64" customWidth="1"/>
    <col min="15" max="15" width="7.85546875" style="64" customWidth="1"/>
    <col min="16" max="16" width="15.8554687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86</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60"/>
      <c r="B4" s="60"/>
      <c r="C4" s="60"/>
      <c r="D4" s="61"/>
      <c r="E4" s="60"/>
      <c r="F4" s="60"/>
      <c r="G4" s="62"/>
    </row>
    <row r="5" spans="1:17" ht="15" customHeight="1">
      <c r="A5" s="267" t="s">
        <v>113</v>
      </c>
      <c r="B5" s="257"/>
      <c r="C5" s="257"/>
      <c r="D5" s="257"/>
      <c r="E5" s="257"/>
      <c r="F5" s="65" t="s">
        <v>44</v>
      </c>
      <c r="G5" s="66"/>
      <c r="H5" s="66"/>
      <c r="I5" s="66"/>
      <c r="J5" s="66"/>
      <c r="K5" s="66"/>
      <c r="L5" s="66"/>
      <c r="M5" s="66"/>
      <c r="N5" s="66"/>
      <c r="O5" s="66"/>
      <c r="P5" s="66"/>
    </row>
    <row r="6" spans="1:17" ht="15" customHeight="1">
      <c r="A6" s="267" t="s">
        <v>112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10" t="s">
        <v>45</v>
      </c>
      <c r="G7" s="68"/>
      <c r="H7" s="69"/>
      <c r="I7" s="70"/>
      <c r="J7" s="70"/>
      <c r="K7" s="70"/>
      <c r="L7" s="70"/>
      <c r="M7" s="70"/>
      <c r="N7" s="70"/>
      <c r="O7" s="70"/>
      <c r="P7" s="70"/>
    </row>
    <row r="8" spans="1:17" ht="15" customHeight="1">
      <c r="A8" s="257" t="s">
        <v>40</v>
      </c>
      <c r="B8" s="257"/>
      <c r="C8" s="257"/>
      <c r="D8" s="257"/>
      <c r="E8" s="257"/>
      <c r="F8" s="213" t="s">
        <v>197</v>
      </c>
      <c r="G8" s="68"/>
      <c r="H8" s="69"/>
      <c r="I8" s="70"/>
      <c r="J8" s="70"/>
      <c r="K8" s="70"/>
      <c r="L8" s="70"/>
      <c r="M8" s="70"/>
      <c r="N8" s="70"/>
      <c r="O8" s="70"/>
      <c r="P8" s="70"/>
    </row>
    <row r="9" spans="1:17" ht="15" customHeight="1">
      <c r="A9" s="71"/>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135</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12" t="s">
        <v>30</v>
      </c>
      <c r="P12" s="252"/>
      <c r="Q12" s="74"/>
    </row>
    <row r="13" spans="1:17" ht="15" customHeight="1">
      <c r="A13" s="255"/>
      <c r="B13" s="255"/>
      <c r="C13" s="255"/>
      <c r="D13" s="255"/>
      <c r="E13" s="255"/>
      <c r="F13" s="263"/>
      <c r="G13" s="252"/>
      <c r="H13" s="256"/>
      <c r="I13" s="212" t="s">
        <v>29</v>
      </c>
      <c r="J13" s="212" t="s">
        <v>28</v>
      </c>
      <c r="K13" s="212" t="s">
        <v>29</v>
      </c>
      <c r="L13" s="212" t="s">
        <v>28</v>
      </c>
      <c r="M13" s="212" t="s">
        <v>29</v>
      </c>
      <c r="N13" s="212" t="s">
        <v>28</v>
      </c>
      <c r="O13" s="212" t="s">
        <v>28</v>
      </c>
      <c r="P13" s="252"/>
      <c r="Q13" s="74"/>
    </row>
    <row r="14" spans="1:17" s="75" customFormat="1" ht="15" customHeight="1">
      <c r="A14" s="247">
        <v>1</v>
      </c>
      <c r="B14" s="248"/>
      <c r="C14" s="248"/>
      <c r="D14" s="248"/>
      <c r="E14" s="249"/>
      <c r="F14" s="110">
        <v>2</v>
      </c>
      <c r="G14" s="111">
        <v>3</v>
      </c>
      <c r="H14" s="112">
        <v>4</v>
      </c>
      <c r="I14" s="113">
        <v>5</v>
      </c>
      <c r="J14" s="113">
        <v>6</v>
      </c>
      <c r="K14" s="113">
        <v>8</v>
      </c>
      <c r="L14" s="113">
        <v>9</v>
      </c>
      <c r="M14" s="113">
        <v>11</v>
      </c>
      <c r="N14" s="113">
        <v>12</v>
      </c>
      <c r="O14" s="113">
        <v>13</v>
      </c>
      <c r="P14" s="113">
        <v>14</v>
      </c>
    </row>
    <row r="15" spans="1:17" s="152" customFormat="1" ht="30" customHeight="1">
      <c r="A15" s="147"/>
      <c r="B15" s="148"/>
      <c r="C15" s="148"/>
      <c r="D15" s="148"/>
      <c r="E15" s="149"/>
      <c r="F15" s="140" t="s">
        <v>107</v>
      </c>
      <c r="G15" s="153">
        <f>G16</f>
        <v>8620443300</v>
      </c>
      <c r="H15" s="150"/>
      <c r="I15" s="151"/>
      <c r="J15" s="151"/>
      <c r="K15" s="151"/>
      <c r="L15" s="151"/>
      <c r="M15" s="151"/>
      <c r="N15" s="151"/>
      <c r="O15" s="151"/>
      <c r="P15" s="151"/>
    </row>
    <row r="16" spans="1:17" s="4" customFormat="1" ht="22.5" customHeight="1">
      <c r="A16" s="36">
        <v>2</v>
      </c>
      <c r="B16" s="36">
        <v>8</v>
      </c>
      <c r="C16" s="36">
        <v>1</v>
      </c>
      <c r="D16" s="37"/>
      <c r="E16" s="36"/>
      <c r="F16" s="38" t="s">
        <v>93</v>
      </c>
      <c r="G16" s="39">
        <f>G17+G25+G29+G33+G41+G45+G50</f>
        <v>8620443300</v>
      </c>
      <c r="H16" s="40">
        <f t="shared" ref="H16:H53" si="0">+G16/$G$119*100%</f>
        <v>0.64614017377900801</v>
      </c>
      <c r="I16" s="39">
        <f>Mei!M16</f>
        <v>2703145185</v>
      </c>
      <c r="J16" s="42">
        <f>Mei!N16</f>
        <v>28.965961271735168</v>
      </c>
      <c r="K16" s="39">
        <f>K17+K25+K29+K33+K45+K50</f>
        <v>1300914617</v>
      </c>
      <c r="L16" s="43">
        <f t="shared" ref="L16:L29" si="1">K16/G16*100</f>
        <v>15.091040816891631</v>
      </c>
      <c r="M16" s="39">
        <f t="shared" ref="M16:M29" si="2">I16+K16</f>
        <v>4004059802</v>
      </c>
      <c r="N16" s="43">
        <f t="shared" ref="N16:N29" si="3">M16/G16*100</f>
        <v>46.448421069018572</v>
      </c>
      <c r="O16" s="44"/>
      <c r="P16" s="39">
        <f t="shared" ref="P16:P29" si="4">G16-M16</f>
        <v>4616383498</v>
      </c>
    </row>
    <row r="17" spans="1:18" s="106" customFormat="1" ht="22.5" customHeight="1">
      <c r="A17" s="5">
        <v>2</v>
      </c>
      <c r="B17" s="5">
        <v>8</v>
      </c>
      <c r="C17" s="5">
        <v>1</v>
      </c>
      <c r="D17" s="6" t="s">
        <v>8</v>
      </c>
      <c r="E17" s="5"/>
      <c r="F17" s="7" t="s">
        <v>27</v>
      </c>
      <c r="G17" s="45">
        <f>SUM(G18:G24)</f>
        <v>29295100</v>
      </c>
      <c r="H17" s="9">
        <f t="shared" si="0"/>
        <v>2.1957967062869515E-3</v>
      </c>
      <c r="I17" s="8">
        <f>Mei!M17</f>
        <v>0</v>
      </c>
      <c r="J17" s="11">
        <f>Mei!N17</f>
        <v>0</v>
      </c>
      <c r="K17" s="45">
        <f>SUM(K18:K24)</f>
        <v>19785700</v>
      </c>
      <c r="L17" s="12">
        <f t="shared" si="1"/>
        <v>67.539281313257177</v>
      </c>
      <c r="M17" s="8">
        <f t="shared" si="2"/>
        <v>19785700</v>
      </c>
      <c r="N17" s="12">
        <f t="shared" si="3"/>
        <v>67.539281313257177</v>
      </c>
      <c r="O17" s="13"/>
      <c r="P17" s="8">
        <f t="shared" si="4"/>
        <v>9509400</v>
      </c>
      <c r="R17" s="107"/>
    </row>
    <row r="18" spans="1:18" s="3" customFormat="1" ht="22.5" customHeight="1">
      <c r="A18" s="14">
        <v>2</v>
      </c>
      <c r="B18" s="14">
        <v>8</v>
      </c>
      <c r="C18" s="14">
        <v>1</v>
      </c>
      <c r="D18" s="15" t="s">
        <v>8</v>
      </c>
      <c r="E18" s="14">
        <v>1</v>
      </c>
      <c r="F18" s="16" t="s">
        <v>49</v>
      </c>
      <c r="G18" s="17">
        <v>7249700</v>
      </c>
      <c r="H18" s="18">
        <f t="shared" si="0"/>
        <v>5.4339692923282439E-4</v>
      </c>
      <c r="I18" s="21">
        <f>Mei!M18</f>
        <v>0</v>
      </c>
      <c r="J18" s="190">
        <f>Mei!N18</f>
        <v>0</v>
      </c>
      <c r="K18" s="21">
        <f>674700+600000+625000+4500000</f>
        <v>6399700</v>
      </c>
      <c r="L18" s="20">
        <f t="shared" si="1"/>
        <v>88.27537691214809</v>
      </c>
      <c r="M18" s="21">
        <f t="shared" si="2"/>
        <v>6399700</v>
      </c>
      <c r="N18" s="20">
        <f t="shared" si="3"/>
        <v>88.27537691214809</v>
      </c>
      <c r="O18" s="22"/>
      <c r="P18" s="21">
        <f t="shared" si="4"/>
        <v>850000</v>
      </c>
      <c r="R18" s="76"/>
    </row>
    <row r="19" spans="1:18" s="3" customFormat="1" ht="22.5" customHeight="1">
      <c r="A19" s="214">
        <v>2</v>
      </c>
      <c r="B19" s="214">
        <v>8</v>
      </c>
      <c r="C19" s="214">
        <v>1</v>
      </c>
      <c r="D19" s="215" t="s">
        <v>8</v>
      </c>
      <c r="E19" s="214">
        <v>2</v>
      </c>
      <c r="F19" s="216" t="s">
        <v>50</v>
      </c>
      <c r="G19" s="217">
        <v>2850400</v>
      </c>
      <c r="H19" s="18">
        <f t="shared" si="0"/>
        <v>2.1365002787498001E-4</v>
      </c>
      <c r="I19" s="21">
        <f>Mei!M19</f>
        <v>0</v>
      </c>
      <c r="J19" s="190">
        <f>Mei!N19</f>
        <v>0</v>
      </c>
      <c r="K19" s="21">
        <v>0</v>
      </c>
      <c r="L19" s="20">
        <f t="shared" si="1"/>
        <v>0</v>
      </c>
      <c r="M19" s="21">
        <f t="shared" si="2"/>
        <v>0</v>
      </c>
      <c r="N19" s="20">
        <f t="shared" si="3"/>
        <v>0</v>
      </c>
      <c r="O19" s="22"/>
      <c r="P19" s="21">
        <f t="shared" si="4"/>
        <v>2850400</v>
      </c>
      <c r="R19" s="76"/>
    </row>
    <row r="20" spans="1:18" s="3" customFormat="1" ht="22.5" customHeight="1">
      <c r="A20" s="214">
        <v>2</v>
      </c>
      <c r="B20" s="214">
        <v>8</v>
      </c>
      <c r="C20" s="214">
        <v>1</v>
      </c>
      <c r="D20" s="215" t="s">
        <v>8</v>
      </c>
      <c r="E20" s="214">
        <v>3</v>
      </c>
      <c r="F20" s="216" t="s">
        <v>51</v>
      </c>
      <c r="G20" s="217">
        <v>2800000</v>
      </c>
      <c r="H20" s="18">
        <f t="shared" si="0"/>
        <v>2.0987232600685657E-4</v>
      </c>
      <c r="I20" s="21">
        <f>Mei!M20</f>
        <v>0</v>
      </c>
      <c r="J20" s="190">
        <f>Mei!N20</f>
        <v>0</v>
      </c>
      <c r="K20" s="21">
        <v>0</v>
      </c>
      <c r="L20" s="20">
        <f t="shared" si="1"/>
        <v>0</v>
      </c>
      <c r="M20" s="21">
        <f t="shared" si="2"/>
        <v>0</v>
      </c>
      <c r="N20" s="20">
        <f t="shared" si="3"/>
        <v>0</v>
      </c>
      <c r="O20" s="22"/>
      <c r="P20" s="21">
        <f t="shared" si="4"/>
        <v>2800000</v>
      </c>
      <c r="R20" s="76"/>
    </row>
    <row r="21" spans="1:18" s="3" customFormat="1" ht="22.5" customHeight="1">
      <c r="A21" s="214">
        <v>2</v>
      </c>
      <c r="B21" s="214">
        <v>8</v>
      </c>
      <c r="C21" s="214">
        <v>1</v>
      </c>
      <c r="D21" s="215" t="s">
        <v>8</v>
      </c>
      <c r="E21" s="214">
        <v>4</v>
      </c>
      <c r="F21" s="216" t="s">
        <v>52</v>
      </c>
      <c r="G21" s="217">
        <v>1442000</v>
      </c>
      <c r="H21" s="18">
        <f t="shared" si="0"/>
        <v>1.0808424789353115E-4</v>
      </c>
      <c r="I21" s="21">
        <f>Mei!M21</f>
        <v>0</v>
      </c>
      <c r="J21" s="190">
        <f>Mei!N21</f>
        <v>0</v>
      </c>
      <c r="K21" s="21">
        <v>0</v>
      </c>
      <c r="L21" s="20">
        <f t="shared" si="1"/>
        <v>0</v>
      </c>
      <c r="M21" s="21">
        <f t="shared" si="2"/>
        <v>0</v>
      </c>
      <c r="N21" s="20">
        <f t="shared" si="3"/>
        <v>0</v>
      </c>
      <c r="O21" s="22"/>
      <c r="P21" s="21">
        <f t="shared" si="4"/>
        <v>1442000</v>
      </c>
      <c r="R21" s="76"/>
    </row>
    <row r="22" spans="1:18" s="3" customFormat="1" ht="22.5" customHeight="1">
      <c r="A22" s="214">
        <v>2</v>
      </c>
      <c r="B22" s="214">
        <v>8</v>
      </c>
      <c r="C22" s="214">
        <v>1</v>
      </c>
      <c r="D22" s="215" t="s">
        <v>8</v>
      </c>
      <c r="E22" s="214">
        <v>5</v>
      </c>
      <c r="F22" s="216" t="s">
        <v>53</v>
      </c>
      <c r="G22" s="217">
        <f>1567000</f>
        <v>1567000</v>
      </c>
      <c r="H22" s="18">
        <f t="shared" si="0"/>
        <v>1.1745354816169438E-4</v>
      </c>
      <c r="I22" s="21">
        <f>Mei!M22</f>
        <v>0</v>
      </c>
      <c r="J22" s="190">
        <f>Mei!N22</f>
        <v>0</v>
      </c>
      <c r="K22" s="21">
        <v>0</v>
      </c>
      <c r="L22" s="20">
        <f t="shared" si="1"/>
        <v>0</v>
      </c>
      <c r="M22" s="21">
        <f t="shared" si="2"/>
        <v>0</v>
      </c>
      <c r="N22" s="20">
        <f t="shared" si="3"/>
        <v>0</v>
      </c>
      <c r="O22" s="22"/>
      <c r="P22" s="21">
        <f t="shared" si="4"/>
        <v>1567000</v>
      </c>
      <c r="R22" s="76"/>
    </row>
    <row r="23" spans="1:18" s="3" customFormat="1" ht="31.5" customHeight="1">
      <c r="A23" s="14">
        <v>2</v>
      </c>
      <c r="B23" s="14">
        <v>8</v>
      </c>
      <c r="C23" s="14">
        <v>1</v>
      </c>
      <c r="D23" s="15" t="s">
        <v>8</v>
      </c>
      <c r="E23" s="14">
        <v>6</v>
      </c>
      <c r="F23" s="16" t="s">
        <v>54</v>
      </c>
      <c r="G23" s="17">
        <v>6851000</v>
      </c>
      <c r="H23" s="18">
        <f t="shared" si="0"/>
        <v>5.1351260909749091E-4</v>
      </c>
      <c r="I23" s="21">
        <f>Mei!M23</f>
        <v>0</v>
      </c>
      <c r="J23" s="190">
        <f>Mei!N23</f>
        <v>0</v>
      </c>
      <c r="K23" s="21">
        <f>410000+516000+500000+625000+4800000</f>
        <v>6851000</v>
      </c>
      <c r="L23" s="20">
        <f t="shared" si="1"/>
        <v>100</v>
      </c>
      <c r="M23" s="21">
        <f t="shared" si="2"/>
        <v>6851000</v>
      </c>
      <c r="N23" s="20">
        <f t="shared" si="3"/>
        <v>100</v>
      </c>
      <c r="O23" s="22"/>
      <c r="P23" s="21">
        <f t="shared" si="4"/>
        <v>0</v>
      </c>
      <c r="R23" s="76"/>
    </row>
    <row r="24" spans="1:18" s="3" customFormat="1" ht="22.5" customHeight="1">
      <c r="A24" s="14">
        <v>2</v>
      </c>
      <c r="B24" s="14">
        <v>8</v>
      </c>
      <c r="C24" s="14">
        <v>1</v>
      </c>
      <c r="D24" s="15" t="s">
        <v>8</v>
      </c>
      <c r="E24" s="14">
        <v>7</v>
      </c>
      <c r="F24" s="16" t="s">
        <v>55</v>
      </c>
      <c r="G24" s="17">
        <v>6535000</v>
      </c>
      <c r="H24" s="18">
        <f t="shared" si="0"/>
        <v>4.8982701801957419E-4</v>
      </c>
      <c r="I24" s="21">
        <f>Mei!M24</f>
        <v>0</v>
      </c>
      <c r="J24" s="190">
        <f>Mei!N24</f>
        <v>0</v>
      </c>
      <c r="K24" s="21">
        <f>214000+399000+297000+200000+625000+4800000</f>
        <v>6535000</v>
      </c>
      <c r="L24" s="20">
        <f t="shared" si="1"/>
        <v>100</v>
      </c>
      <c r="M24" s="30">
        <f t="shared" si="2"/>
        <v>6535000</v>
      </c>
      <c r="N24" s="29">
        <f t="shared" si="3"/>
        <v>100</v>
      </c>
      <c r="O24" s="22"/>
      <c r="P24" s="21">
        <f t="shared" si="4"/>
        <v>0</v>
      </c>
      <c r="R24" s="76"/>
    </row>
    <row r="25" spans="1:18" s="106" customFormat="1" ht="22.5" customHeight="1">
      <c r="A25" s="5">
        <v>2</v>
      </c>
      <c r="B25" s="5">
        <v>8</v>
      </c>
      <c r="C25" s="5">
        <v>1</v>
      </c>
      <c r="D25" s="6" t="s">
        <v>7</v>
      </c>
      <c r="E25" s="5"/>
      <c r="F25" s="7" t="s">
        <v>26</v>
      </c>
      <c r="G25" s="45">
        <f>SUM(G26:G28)</f>
        <v>7291370573</v>
      </c>
      <c r="H25" s="9">
        <f t="shared" si="0"/>
        <v>0.54652032211909163</v>
      </c>
      <c r="I25" s="8">
        <f>Mei!M25</f>
        <v>2480174584</v>
      </c>
      <c r="J25" s="11">
        <f>Mei!N25</f>
        <v>34.672541414956711</v>
      </c>
      <c r="K25" s="45">
        <f>SUM(K26:K28)</f>
        <v>1165422619</v>
      </c>
      <c r="L25" s="12">
        <f t="shared" si="1"/>
        <v>15.983587822508552</v>
      </c>
      <c r="M25" s="8">
        <f t="shared" si="2"/>
        <v>3645597203</v>
      </c>
      <c r="N25" s="12">
        <f t="shared" si="3"/>
        <v>49.998791948658791</v>
      </c>
      <c r="O25" s="13"/>
      <c r="P25" s="8">
        <f t="shared" si="4"/>
        <v>3645773370</v>
      </c>
    </row>
    <row r="26" spans="1:18" s="3" customFormat="1" ht="22.5" customHeight="1">
      <c r="A26" s="214">
        <v>2</v>
      </c>
      <c r="B26" s="214">
        <v>8</v>
      </c>
      <c r="C26" s="214">
        <v>1</v>
      </c>
      <c r="D26" s="215" t="s">
        <v>7</v>
      </c>
      <c r="E26" s="214">
        <v>1</v>
      </c>
      <c r="F26" s="216" t="s">
        <v>56</v>
      </c>
      <c r="G26" s="217">
        <v>7232422573</v>
      </c>
      <c r="H26" s="18">
        <f t="shared" si="0"/>
        <v>0.54210191002143016</v>
      </c>
      <c r="I26" s="21">
        <f>Mei!M26</f>
        <v>2463803584</v>
      </c>
      <c r="J26" s="190">
        <f>Mei!N26</f>
        <v>34.752905157778564</v>
      </c>
      <c r="K26" s="21">
        <f>275542809+4172017+277506256+4071923+179226009+2435710+4172017+4779398+204036138+2501196+200146346</f>
        <v>1158589819</v>
      </c>
      <c r="L26" s="20">
        <f t="shared" si="1"/>
        <v>16.019387795802125</v>
      </c>
      <c r="M26" s="21">
        <f t="shared" si="2"/>
        <v>3622393403</v>
      </c>
      <c r="N26" s="20">
        <f t="shared" si="3"/>
        <v>50.085477811032206</v>
      </c>
      <c r="O26" s="22"/>
      <c r="P26" s="21">
        <f t="shared" si="4"/>
        <v>3610029170</v>
      </c>
    </row>
    <row r="27" spans="1:18" s="3" customFormat="1" ht="22.5" customHeight="1">
      <c r="A27" s="214">
        <v>2</v>
      </c>
      <c r="B27" s="214">
        <v>8</v>
      </c>
      <c r="C27" s="214">
        <v>1</v>
      </c>
      <c r="D27" s="215" t="s">
        <v>7</v>
      </c>
      <c r="E27" s="214">
        <v>2</v>
      </c>
      <c r="F27" s="216" t="s">
        <v>57</v>
      </c>
      <c r="G27" s="217">
        <v>52547000</v>
      </c>
      <c r="H27" s="18">
        <f t="shared" si="0"/>
        <v>3.9386289695293904E-3</v>
      </c>
      <c r="I27" s="21">
        <f>Mei!M27</f>
        <v>13620000</v>
      </c>
      <c r="J27" s="190">
        <f>Mei!N27</f>
        <v>23.791639736580084</v>
      </c>
      <c r="K27" s="21">
        <f>1090000+1010000+680000+625000+1291800+1936000+200000</f>
        <v>6832800</v>
      </c>
      <c r="L27" s="20">
        <f t="shared" si="1"/>
        <v>13.003216168382592</v>
      </c>
      <c r="M27" s="21">
        <f t="shared" si="2"/>
        <v>20452800</v>
      </c>
      <c r="N27" s="20">
        <f t="shared" si="3"/>
        <v>38.922869050564259</v>
      </c>
      <c r="O27" s="22"/>
      <c r="P27" s="21">
        <f t="shared" si="4"/>
        <v>32094200</v>
      </c>
    </row>
    <row r="28" spans="1:18" s="3" customFormat="1" ht="22.5" customHeight="1">
      <c r="A28" s="14">
        <v>2</v>
      </c>
      <c r="B28" s="14">
        <v>8</v>
      </c>
      <c r="C28" s="14">
        <v>1</v>
      </c>
      <c r="D28" s="15" t="s">
        <v>7</v>
      </c>
      <c r="E28" s="14">
        <v>5</v>
      </c>
      <c r="F28" s="16" t="s">
        <v>58</v>
      </c>
      <c r="G28" s="17">
        <v>6401000</v>
      </c>
      <c r="H28" s="18">
        <f t="shared" si="0"/>
        <v>4.7978312813210319E-4</v>
      </c>
      <c r="I28" s="21">
        <f>Mei!M28</f>
        <v>2751000</v>
      </c>
      <c r="J28" s="190">
        <f>Mei!N28</f>
        <v>42.977659740665516</v>
      </c>
      <c r="K28" s="21"/>
      <c r="L28" s="20">
        <f t="shared" si="1"/>
        <v>0</v>
      </c>
      <c r="M28" s="21">
        <f t="shared" si="2"/>
        <v>2751000</v>
      </c>
      <c r="N28" s="20">
        <f t="shared" si="3"/>
        <v>42.977659740665516</v>
      </c>
      <c r="O28" s="22"/>
      <c r="P28" s="21">
        <f t="shared" si="4"/>
        <v>3650000</v>
      </c>
    </row>
    <row r="29" spans="1:18" s="35" customFormat="1" ht="22.5" customHeight="1">
      <c r="A29" s="5">
        <v>2</v>
      </c>
      <c r="B29" s="5">
        <v>8</v>
      </c>
      <c r="C29" s="5">
        <v>1</v>
      </c>
      <c r="D29" s="6" t="s">
        <v>14</v>
      </c>
      <c r="E29" s="5"/>
      <c r="F29" s="7" t="s">
        <v>25</v>
      </c>
      <c r="G29" s="45">
        <f>SUM(G30:G32)</f>
        <v>12840000</v>
      </c>
      <c r="H29" s="9">
        <f t="shared" si="0"/>
        <v>9.6241452354572802E-4</v>
      </c>
      <c r="I29" s="8">
        <f>Mei!M29</f>
        <v>3400000</v>
      </c>
      <c r="J29" s="11">
        <f>Mei!N29</f>
        <v>24.584237165582067</v>
      </c>
      <c r="K29" s="45">
        <f>K32</f>
        <v>850000</v>
      </c>
      <c r="L29" s="12">
        <f t="shared" si="1"/>
        <v>6.6199376947040491</v>
      </c>
      <c r="M29" s="8">
        <f t="shared" si="2"/>
        <v>4250000</v>
      </c>
      <c r="N29" s="12">
        <f t="shared" si="3"/>
        <v>33.099688473520253</v>
      </c>
      <c r="O29" s="13"/>
      <c r="P29" s="8">
        <f t="shared" si="4"/>
        <v>8590000</v>
      </c>
    </row>
    <row r="30" spans="1:18" s="35" customFormat="1" ht="22.5" customHeight="1">
      <c r="A30" s="214">
        <v>2</v>
      </c>
      <c r="B30" s="214">
        <v>8</v>
      </c>
      <c r="C30" s="214">
        <v>1</v>
      </c>
      <c r="D30" s="215" t="s">
        <v>14</v>
      </c>
      <c r="E30" s="214">
        <v>1</v>
      </c>
      <c r="F30" s="218" t="s">
        <v>114</v>
      </c>
      <c r="G30" s="217">
        <v>567000</v>
      </c>
      <c r="H30" s="18">
        <f t="shared" si="0"/>
        <v>4.2499146016388455E-5</v>
      </c>
      <c r="I30" s="21">
        <f>Mei!M30</f>
        <v>0</v>
      </c>
      <c r="J30" s="190">
        <f>Mei!N30</f>
        <v>0</v>
      </c>
      <c r="K30" s="164"/>
      <c r="L30" s="20"/>
      <c r="M30" s="30"/>
      <c r="N30" s="29"/>
      <c r="O30" s="165"/>
      <c r="P30" s="30"/>
    </row>
    <row r="31" spans="1:18" s="35" customFormat="1" ht="22.5" customHeight="1">
      <c r="A31" s="14">
        <v>2</v>
      </c>
      <c r="B31" s="14">
        <v>8</v>
      </c>
      <c r="C31" s="14">
        <v>1</v>
      </c>
      <c r="D31" s="15" t="s">
        <v>14</v>
      </c>
      <c r="E31" s="14">
        <v>5</v>
      </c>
      <c r="F31" s="166" t="s">
        <v>115</v>
      </c>
      <c r="G31" s="17">
        <v>1100000</v>
      </c>
      <c r="H31" s="18">
        <f t="shared" si="0"/>
        <v>8.2449842359836516E-5</v>
      </c>
      <c r="I31" s="21">
        <f>Mei!M31</f>
        <v>0</v>
      </c>
      <c r="J31" s="190">
        <f>Mei!N31</f>
        <v>0</v>
      </c>
      <c r="K31" s="164"/>
      <c r="L31" s="20"/>
      <c r="M31" s="30"/>
      <c r="N31" s="29"/>
      <c r="O31" s="165"/>
      <c r="P31" s="30"/>
    </row>
    <row r="32" spans="1:18" s="3" customFormat="1" ht="22.5" customHeight="1">
      <c r="A32" s="214">
        <v>2</v>
      </c>
      <c r="B32" s="214">
        <v>8</v>
      </c>
      <c r="C32" s="214">
        <v>1</v>
      </c>
      <c r="D32" s="215" t="s">
        <v>14</v>
      </c>
      <c r="E32" s="214">
        <v>6</v>
      </c>
      <c r="F32" s="216" t="s">
        <v>59</v>
      </c>
      <c r="G32" s="217">
        <v>11173000</v>
      </c>
      <c r="H32" s="18">
        <f t="shared" si="0"/>
        <v>8.3746553516950302E-4</v>
      </c>
      <c r="I32" s="21">
        <f>Mei!M32</f>
        <v>3400000</v>
      </c>
      <c r="J32" s="190">
        <f>Mei!N32</f>
        <v>29.097133076593924</v>
      </c>
      <c r="K32" s="21">
        <f>850000</f>
        <v>850000</v>
      </c>
      <c r="L32" s="20">
        <f t="shared" ref="L32:L38" si="5">K32/G32*100</f>
        <v>7.6076255258211765</v>
      </c>
      <c r="M32" s="21">
        <f t="shared" ref="M32:M38" si="6">I32+K32</f>
        <v>4250000</v>
      </c>
      <c r="N32" s="20">
        <f t="shared" ref="N32:N38" si="7">M32/G32*100</f>
        <v>38.03812762910588</v>
      </c>
      <c r="O32" s="22"/>
      <c r="P32" s="21">
        <f t="shared" ref="P32:P38" si="8">G32-M32</f>
        <v>6923000</v>
      </c>
    </row>
    <row r="33" spans="1:16" s="106" customFormat="1" ht="22.5" customHeight="1">
      <c r="A33" s="5">
        <v>2</v>
      </c>
      <c r="B33" s="5">
        <v>8</v>
      </c>
      <c r="C33" s="5">
        <v>1</v>
      </c>
      <c r="D33" s="6" t="s">
        <v>24</v>
      </c>
      <c r="E33" s="5"/>
      <c r="F33" s="7" t="s">
        <v>4</v>
      </c>
      <c r="G33" s="45">
        <f>SUM(G34:G40)</f>
        <v>646477250</v>
      </c>
      <c r="H33" s="9">
        <f t="shared" si="0"/>
        <v>4.8456315774291471E-2</v>
      </c>
      <c r="I33" s="8">
        <f>Mei!M33</f>
        <v>52854668</v>
      </c>
      <c r="J33" s="11">
        <f>Mei!N33</f>
        <v>6.1341849638698234</v>
      </c>
      <c r="K33" s="45">
        <f>SUM(K34:K40)</f>
        <v>18927000</v>
      </c>
      <c r="L33" s="12">
        <f t="shared" si="5"/>
        <v>2.9277132335283262</v>
      </c>
      <c r="M33" s="8">
        <f>I33+K33</f>
        <v>71781668</v>
      </c>
      <c r="N33" s="12">
        <f t="shared" si="7"/>
        <v>11.103510293672359</v>
      </c>
      <c r="O33" s="13"/>
      <c r="P33" s="8">
        <f t="shared" si="8"/>
        <v>574695582</v>
      </c>
    </row>
    <row r="34" spans="1:16" s="3" customFormat="1" ht="22.5" customHeight="1">
      <c r="A34" s="214">
        <v>2</v>
      </c>
      <c r="B34" s="214">
        <v>8</v>
      </c>
      <c r="C34" s="214">
        <v>1</v>
      </c>
      <c r="D34" s="215" t="s">
        <v>24</v>
      </c>
      <c r="E34" s="214">
        <v>1</v>
      </c>
      <c r="F34" s="216" t="s">
        <v>60</v>
      </c>
      <c r="G34" s="217">
        <v>3122500</v>
      </c>
      <c r="H34" s="18">
        <f t="shared" si="0"/>
        <v>2.3404512069871773E-4</v>
      </c>
      <c r="I34" s="21">
        <f>Mei!M34</f>
        <v>2775500</v>
      </c>
      <c r="J34" s="190">
        <f>Mei!N34</f>
        <v>39.27964902349278</v>
      </c>
      <c r="K34" s="21"/>
      <c r="L34" s="20">
        <f t="shared" si="5"/>
        <v>0</v>
      </c>
      <c r="M34" s="21">
        <f t="shared" si="6"/>
        <v>2775500</v>
      </c>
      <c r="N34" s="20">
        <f t="shared" si="7"/>
        <v>88.887109687750197</v>
      </c>
      <c r="O34" s="22"/>
      <c r="P34" s="21">
        <f t="shared" si="8"/>
        <v>347000</v>
      </c>
    </row>
    <row r="35" spans="1:16" s="3" customFormat="1" ht="22.5" customHeight="1">
      <c r="A35" s="214">
        <v>2</v>
      </c>
      <c r="B35" s="214">
        <v>8</v>
      </c>
      <c r="C35" s="214">
        <v>1</v>
      </c>
      <c r="D35" s="215" t="s">
        <v>24</v>
      </c>
      <c r="E35" s="214">
        <v>2</v>
      </c>
      <c r="F35" s="216" t="s">
        <v>61</v>
      </c>
      <c r="G35" s="217">
        <v>44092200</v>
      </c>
      <c r="H35" s="18">
        <f t="shared" si="0"/>
        <v>3.3049044902712576E-3</v>
      </c>
      <c r="I35" s="21">
        <f>Mei!M35</f>
        <v>10526750</v>
      </c>
      <c r="J35" s="190">
        <f>Mei!N35</f>
        <v>17.274609970510866</v>
      </c>
      <c r="K35" s="21">
        <f>661000</f>
        <v>661000</v>
      </c>
      <c r="L35" s="20">
        <f t="shared" si="5"/>
        <v>1.4991313656383669</v>
      </c>
      <c r="M35" s="21">
        <f t="shared" si="6"/>
        <v>11187750</v>
      </c>
      <c r="N35" s="20">
        <f t="shared" si="7"/>
        <v>25.37353545525059</v>
      </c>
      <c r="O35" s="22"/>
      <c r="P35" s="21">
        <f t="shared" si="8"/>
        <v>32904450</v>
      </c>
    </row>
    <row r="36" spans="1:16" s="3" customFormat="1" ht="22.5" customHeight="1">
      <c r="A36" s="214">
        <v>2</v>
      </c>
      <c r="B36" s="214">
        <v>8</v>
      </c>
      <c r="C36" s="214">
        <v>1</v>
      </c>
      <c r="D36" s="215" t="s">
        <v>24</v>
      </c>
      <c r="E36" s="214">
        <v>5</v>
      </c>
      <c r="F36" s="216" t="s">
        <v>62</v>
      </c>
      <c r="G36" s="217">
        <v>7650000</v>
      </c>
      <c r="H36" s="18">
        <f t="shared" si="0"/>
        <v>5.7340117641159027E-4</v>
      </c>
      <c r="I36" s="21">
        <f>Mei!M36</f>
        <v>900000</v>
      </c>
      <c r="J36" s="190">
        <f>Mei!N36</f>
        <v>5.8823529411764701</v>
      </c>
      <c r="K36" s="21">
        <f>600000</f>
        <v>600000</v>
      </c>
      <c r="L36" s="20">
        <f t="shared" si="5"/>
        <v>7.8431372549019605</v>
      </c>
      <c r="M36" s="21">
        <f t="shared" si="6"/>
        <v>1500000</v>
      </c>
      <c r="N36" s="20">
        <f t="shared" si="7"/>
        <v>19.607843137254903</v>
      </c>
      <c r="O36" s="22"/>
      <c r="P36" s="21">
        <f t="shared" si="8"/>
        <v>6150000</v>
      </c>
    </row>
    <row r="37" spans="1:16" s="3" customFormat="1" ht="22.5" customHeight="1">
      <c r="A37" s="14">
        <v>2</v>
      </c>
      <c r="B37" s="14">
        <v>8</v>
      </c>
      <c r="C37" s="14">
        <v>1</v>
      </c>
      <c r="D37" s="15" t="s">
        <v>24</v>
      </c>
      <c r="E37" s="14">
        <v>6</v>
      </c>
      <c r="F37" s="16" t="s">
        <v>63</v>
      </c>
      <c r="G37" s="17">
        <v>12600000</v>
      </c>
      <c r="H37" s="18">
        <f t="shared" si="0"/>
        <v>9.4442546703085457E-4</v>
      </c>
      <c r="I37" s="21">
        <f>Mei!M37</f>
        <v>1500000</v>
      </c>
      <c r="J37" s="190">
        <f>Mei!N37</f>
        <v>11.904761904761903</v>
      </c>
      <c r="K37" s="21">
        <f>250000+500000</f>
        <v>750000</v>
      </c>
      <c r="L37" s="20">
        <f t="shared" si="5"/>
        <v>5.9523809523809517</v>
      </c>
      <c r="M37" s="21">
        <f t="shared" si="6"/>
        <v>2250000</v>
      </c>
      <c r="N37" s="20">
        <f t="shared" si="7"/>
        <v>17.857142857142858</v>
      </c>
      <c r="O37" s="22"/>
      <c r="P37" s="21">
        <f t="shared" si="8"/>
        <v>10350000</v>
      </c>
    </row>
    <row r="38" spans="1:16" s="3" customFormat="1" ht="22.5" customHeight="1">
      <c r="A38" s="214">
        <v>2</v>
      </c>
      <c r="B38" s="214">
        <v>8</v>
      </c>
      <c r="C38" s="214">
        <v>1</v>
      </c>
      <c r="D38" s="215" t="s">
        <v>24</v>
      </c>
      <c r="E38" s="214">
        <v>8</v>
      </c>
      <c r="F38" s="218" t="s">
        <v>120</v>
      </c>
      <c r="G38" s="217">
        <f>5825000</f>
        <v>5825000</v>
      </c>
      <c r="H38" s="18">
        <f t="shared" si="0"/>
        <v>4.3660939249640698E-4</v>
      </c>
      <c r="I38" s="21">
        <f>Mei!M38</f>
        <v>2000000</v>
      </c>
      <c r="J38" s="190">
        <f>Mei!N38</f>
        <v>25</v>
      </c>
      <c r="K38" s="21">
        <f>345000</f>
        <v>345000</v>
      </c>
      <c r="L38" s="20">
        <f t="shared" si="5"/>
        <v>5.9227467811158796</v>
      </c>
      <c r="M38" s="21">
        <f t="shared" si="6"/>
        <v>2345000</v>
      </c>
      <c r="N38" s="20">
        <f t="shared" si="7"/>
        <v>40.257510729613735</v>
      </c>
      <c r="O38" s="22"/>
      <c r="P38" s="21">
        <f t="shared" si="8"/>
        <v>3480000</v>
      </c>
    </row>
    <row r="39" spans="1:16" s="3" customFormat="1" ht="22.5" customHeight="1">
      <c r="A39" s="214">
        <v>2</v>
      </c>
      <c r="B39" s="214">
        <v>8</v>
      </c>
      <c r="C39" s="214">
        <v>1</v>
      </c>
      <c r="D39" s="215" t="s">
        <v>24</v>
      </c>
      <c r="E39" s="214">
        <v>9</v>
      </c>
      <c r="F39" s="216" t="s">
        <v>64</v>
      </c>
      <c r="G39" s="217">
        <v>570225900</v>
      </c>
      <c r="H39" s="18">
        <f t="shared" si="0"/>
        <v>4.2740941422269002E-2</v>
      </c>
      <c r="I39" s="21">
        <f>Mei!M39</f>
        <v>35152418</v>
      </c>
      <c r="J39" s="190">
        <f>Mei!N39</f>
        <v>4.6607280391723487</v>
      </c>
      <c r="K39" s="21">
        <f>225000+2860000+7486000+3000000+3000000</f>
        <v>16571000</v>
      </c>
      <c r="L39" s="20">
        <f>K39/G39*100</f>
        <v>2.9060412724150204</v>
      </c>
      <c r="M39" s="21">
        <f>I39+K39</f>
        <v>51723418</v>
      </c>
      <c r="N39" s="20">
        <f>M39/G39*100</f>
        <v>9.070689002376076</v>
      </c>
      <c r="O39" s="22"/>
      <c r="P39" s="21">
        <f>G39-M39</f>
        <v>518502482</v>
      </c>
    </row>
    <row r="40" spans="1:16" s="3" customFormat="1" ht="22.5" customHeight="1">
      <c r="A40" s="214">
        <v>2</v>
      </c>
      <c r="B40" s="214">
        <v>8</v>
      </c>
      <c r="C40" s="214">
        <v>1</v>
      </c>
      <c r="D40" s="215" t="s">
        <v>24</v>
      </c>
      <c r="E40" s="214">
        <v>10</v>
      </c>
      <c r="F40" s="218" t="s">
        <v>118</v>
      </c>
      <c r="G40" s="217">
        <v>2961650</v>
      </c>
      <c r="H40" s="18">
        <f t="shared" si="0"/>
        <v>2.2198870511364529E-4</v>
      </c>
      <c r="I40" s="21">
        <f>Mei!M40</f>
        <v>0</v>
      </c>
      <c r="J40" s="190">
        <f>Mei!N40</f>
        <v>0</v>
      </c>
      <c r="K40" s="21"/>
      <c r="L40" s="20">
        <f>K40/G40*100</f>
        <v>0</v>
      </c>
      <c r="M40" s="21">
        <f>I40+K40</f>
        <v>0</v>
      </c>
      <c r="N40" s="20">
        <f>M40/G40*100</f>
        <v>0</v>
      </c>
      <c r="O40" s="22"/>
      <c r="P40" s="21">
        <f>G40-M40</f>
        <v>2961650</v>
      </c>
    </row>
    <row r="41" spans="1:16" s="3" customFormat="1" ht="22.5" customHeight="1">
      <c r="A41" s="5">
        <v>2</v>
      </c>
      <c r="B41" s="5">
        <v>8</v>
      </c>
      <c r="C41" s="5">
        <v>1</v>
      </c>
      <c r="D41" s="6" t="s">
        <v>116</v>
      </c>
      <c r="E41" s="5"/>
      <c r="F41" s="167" t="s">
        <v>117</v>
      </c>
      <c r="G41" s="45">
        <f>SUM(G42:G44)</f>
        <v>9000000</v>
      </c>
      <c r="H41" s="9">
        <f t="shared" si="0"/>
        <v>6.7458961930775326E-4</v>
      </c>
      <c r="I41" s="8">
        <f>Mei!M41</f>
        <v>0</v>
      </c>
      <c r="J41" s="11">
        <f>Mei!N41</f>
        <v>0</v>
      </c>
      <c r="K41" s="45">
        <f>SUM(K42:K44)</f>
        <v>0</v>
      </c>
      <c r="L41" s="12">
        <f>K41/G41*100</f>
        <v>0</v>
      </c>
      <c r="M41" s="8">
        <f>I41+K41</f>
        <v>0</v>
      </c>
      <c r="N41" s="12">
        <f>M41/G41*100</f>
        <v>0</v>
      </c>
      <c r="O41" s="13"/>
      <c r="P41" s="8">
        <f>G41-M41</f>
        <v>9000000</v>
      </c>
    </row>
    <row r="42" spans="1:16" s="3" customFormat="1" ht="22.5" customHeight="1">
      <c r="A42" s="214">
        <v>2</v>
      </c>
      <c r="B42" s="214">
        <v>8</v>
      </c>
      <c r="C42" s="214">
        <v>1</v>
      </c>
      <c r="D42" s="215" t="s">
        <v>116</v>
      </c>
      <c r="E42" s="214">
        <v>2</v>
      </c>
      <c r="F42" s="218" t="s">
        <v>143</v>
      </c>
      <c r="G42" s="217">
        <v>0</v>
      </c>
      <c r="H42" s="18">
        <f t="shared" si="0"/>
        <v>0</v>
      </c>
      <c r="I42" s="21">
        <f>Mei!M42</f>
        <v>0</v>
      </c>
      <c r="J42" s="190">
        <f>Mei!N42</f>
        <v>0</v>
      </c>
      <c r="K42" s="164"/>
      <c r="L42" s="20" t="e">
        <f t="shared" ref="L42:L44" si="9">K42/G42*100</f>
        <v>#DIV/0!</v>
      </c>
      <c r="M42" s="30"/>
      <c r="N42" s="20" t="e">
        <f t="shared" ref="N42:N44" si="10">M42/G42*100</f>
        <v>#DIV/0!</v>
      </c>
      <c r="O42" s="165"/>
      <c r="P42" s="21">
        <f>G42-M42</f>
        <v>0</v>
      </c>
    </row>
    <row r="43" spans="1:16" s="3" customFormat="1" ht="22.5" customHeight="1">
      <c r="A43" s="214">
        <v>2</v>
      </c>
      <c r="B43" s="214">
        <v>8</v>
      </c>
      <c r="C43" s="214">
        <v>1</v>
      </c>
      <c r="D43" s="215" t="s">
        <v>116</v>
      </c>
      <c r="E43" s="214">
        <v>5</v>
      </c>
      <c r="F43" s="218" t="s">
        <v>144</v>
      </c>
      <c r="G43" s="217">
        <v>0</v>
      </c>
      <c r="H43" s="18">
        <f t="shared" si="0"/>
        <v>0</v>
      </c>
      <c r="I43" s="21">
        <f>Mei!M43</f>
        <v>0</v>
      </c>
      <c r="J43" s="190">
        <f>Mei!N43</f>
        <v>0</v>
      </c>
      <c r="K43" s="164"/>
      <c r="L43" s="20" t="e">
        <f t="shared" si="9"/>
        <v>#DIV/0!</v>
      </c>
      <c r="M43" s="30"/>
      <c r="N43" s="20" t="e">
        <f t="shared" si="10"/>
        <v>#DIV/0!</v>
      </c>
      <c r="O43" s="165"/>
      <c r="P43" s="21">
        <f t="shared" ref="P43:P53" si="11">G43-M43</f>
        <v>0</v>
      </c>
    </row>
    <row r="44" spans="1:16" s="3" customFormat="1" ht="22.5" customHeight="1">
      <c r="A44" s="214">
        <v>2</v>
      </c>
      <c r="B44" s="214">
        <v>8</v>
      </c>
      <c r="C44" s="214">
        <v>1</v>
      </c>
      <c r="D44" s="215" t="s">
        <v>116</v>
      </c>
      <c r="E44" s="214">
        <v>6</v>
      </c>
      <c r="F44" s="218" t="s">
        <v>119</v>
      </c>
      <c r="G44" s="217">
        <v>9000000</v>
      </c>
      <c r="H44" s="18">
        <f t="shared" si="0"/>
        <v>6.7458961930775326E-4</v>
      </c>
      <c r="I44" s="21">
        <f>Mei!M44</f>
        <v>0</v>
      </c>
      <c r="J44" s="190">
        <f>Mei!N44</f>
        <v>0</v>
      </c>
      <c r="K44" s="21"/>
      <c r="L44" s="20">
        <f t="shared" si="9"/>
        <v>0</v>
      </c>
      <c r="M44" s="30"/>
      <c r="N44" s="20">
        <f t="shared" si="10"/>
        <v>0</v>
      </c>
      <c r="O44" s="22"/>
      <c r="P44" s="21">
        <f t="shared" si="11"/>
        <v>9000000</v>
      </c>
    </row>
    <row r="45" spans="1:16" s="106" customFormat="1" ht="22.5" customHeight="1">
      <c r="A45" s="5">
        <v>2</v>
      </c>
      <c r="B45" s="5">
        <v>8</v>
      </c>
      <c r="C45" s="5">
        <v>1</v>
      </c>
      <c r="D45" s="6" t="s">
        <v>23</v>
      </c>
      <c r="E45" s="5"/>
      <c r="F45" s="7" t="s">
        <v>3</v>
      </c>
      <c r="G45" s="45">
        <f>SUM(G46:G49)</f>
        <v>502540377</v>
      </c>
      <c r="H45" s="9">
        <f t="shared" si="0"/>
        <v>3.7667613511911648E-2</v>
      </c>
      <c r="I45" s="8">
        <f>Mei!M45</f>
        <v>155695933</v>
      </c>
      <c r="J45" s="11">
        <f>Mei!N45</f>
        <v>30.526155641381802</v>
      </c>
      <c r="K45" s="45">
        <f>SUM(K46:K49)</f>
        <v>46586691</v>
      </c>
      <c r="L45" s="12">
        <f t="shared" ref="L45:L53" si="12">K45/G45*100</f>
        <v>9.2702383991724506</v>
      </c>
      <c r="M45" s="8">
        <f t="shared" ref="M45:M53" si="13">I45+K45</f>
        <v>202282624</v>
      </c>
      <c r="N45" s="12">
        <f t="shared" ref="N45:N53" si="14">M45/G45*100</f>
        <v>40.252014217755082</v>
      </c>
      <c r="O45" s="13"/>
      <c r="P45" s="8">
        <f t="shared" si="11"/>
        <v>300257753</v>
      </c>
    </row>
    <row r="46" spans="1:16" s="3" customFormat="1" ht="22.5" customHeight="1">
      <c r="A46" s="14">
        <v>2</v>
      </c>
      <c r="B46" s="14">
        <v>8</v>
      </c>
      <c r="C46" s="14">
        <v>1</v>
      </c>
      <c r="D46" s="15" t="s">
        <v>23</v>
      </c>
      <c r="E46" s="14">
        <v>1</v>
      </c>
      <c r="F46" s="16" t="s">
        <v>65</v>
      </c>
      <c r="G46" s="17">
        <v>1749600</v>
      </c>
      <c r="H46" s="18">
        <f t="shared" si="0"/>
        <v>1.3114022199342724E-4</v>
      </c>
      <c r="I46" s="21">
        <f>Mei!M46</f>
        <v>0</v>
      </c>
      <c r="J46" s="190">
        <f>Mei!N46</f>
        <v>0</v>
      </c>
      <c r="K46" s="21">
        <v>0</v>
      </c>
      <c r="L46" s="20">
        <f t="shared" si="12"/>
        <v>0</v>
      </c>
      <c r="M46" s="30">
        <f t="shared" si="13"/>
        <v>0</v>
      </c>
      <c r="N46" s="29">
        <f t="shared" si="14"/>
        <v>0</v>
      </c>
      <c r="O46" s="22"/>
      <c r="P46" s="21">
        <f t="shared" si="11"/>
        <v>1749600</v>
      </c>
    </row>
    <row r="47" spans="1:16" s="3" customFormat="1" ht="22.5" customHeight="1">
      <c r="A47" s="214">
        <v>2</v>
      </c>
      <c r="B47" s="214">
        <v>8</v>
      </c>
      <c r="C47" s="214">
        <v>1</v>
      </c>
      <c r="D47" s="215" t="s">
        <v>23</v>
      </c>
      <c r="E47" s="214">
        <v>2</v>
      </c>
      <c r="F47" s="216" t="s">
        <v>66</v>
      </c>
      <c r="G47" s="217">
        <v>114690777</v>
      </c>
      <c r="H47" s="18">
        <f t="shared" si="0"/>
        <v>8.5965786216156033E-3</v>
      </c>
      <c r="I47" s="21">
        <f>Mei!M47</f>
        <v>30247933</v>
      </c>
      <c r="J47" s="190">
        <f>Mei!N47</f>
        <v>26.373304966680305</v>
      </c>
      <c r="K47" s="21">
        <f>530250+1801200+4699741+412000+1622000</f>
        <v>9065191</v>
      </c>
      <c r="L47" s="20">
        <f t="shared" si="12"/>
        <v>7.9040278888336424</v>
      </c>
      <c r="M47" s="21">
        <f t="shared" si="13"/>
        <v>39313124</v>
      </c>
      <c r="N47" s="20">
        <f t="shared" si="14"/>
        <v>34.277493821495341</v>
      </c>
      <c r="O47" s="22"/>
      <c r="P47" s="21">
        <f t="shared" si="11"/>
        <v>75377653</v>
      </c>
    </row>
    <row r="48" spans="1:16" s="3" customFormat="1" ht="22.5" customHeight="1">
      <c r="A48" s="14">
        <v>2</v>
      </c>
      <c r="B48" s="14">
        <v>8</v>
      </c>
      <c r="C48" s="14">
        <v>1</v>
      </c>
      <c r="D48" s="15" t="s">
        <v>23</v>
      </c>
      <c r="E48" s="14">
        <v>3</v>
      </c>
      <c r="F48" s="16" t="s">
        <v>67</v>
      </c>
      <c r="G48" s="17">
        <v>36800000</v>
      </c>
      <c r="H48" s="18">
        <f t="shared" si="0"/>
        <v>2.758321998947258E-3</v>
      </c>
      <c r="I48" s="21">
        <f>Mei!M48</f>
        <v>0</v>
      </c>
      <c r="J48" s="190">
        <f>Mei!N48</f>
        <v>0</v>
      </c>
      <c r="K48" s="21">
        <f>12250000+1750000</f>
        <v>14000000</v>
      </c>
      <c r="L48" s="20">
        <f t="shared" si="12"/>
        <v>38.04347826086957</v>
      </c>
      <c r="M48" s="21">
        <f t="shared" si="13"/>
        <v>14000000</v>
      </c>
      <c r="N48" s="20">
        <f t="shared" si="14"/>
        <v>38.04347826086957</v>
      </c>
      <c r="O48" s="22"/>
      <c r="P48" s="21">
        <f t="shared" si="11"/>
        <v>22800000</v>
      </c>
    </row>
    <row r="49" spans="1:16" s="3" customFormat="1" ht="22.5" customHeight="1">
      <c r="A49" s="214">
        <v>2</v>
      </c>
      <c r="B49" s="214">
        <v>8</v>
      </c>
      <c r="C49" s="214">
        <v>1</v>
      </c>
      <c r="D49" s="215" t="s">
        <v>23</v>
      </c>
      <c r="E49" s="214">
        <v>4</v>
      </c>
      <c r="F49" s="216" t="s">
        <v>68</v>
      </c>
      <c r="G49" s="217">
        <v>349300000</v>
      </c>
      <c r="H49" s="18">
        <f t="shared" si="0"/>
        <v>2.618157266935536E-2</v>
      </c>
      <c r="I49" s="21">
        <f>Mei!M49</f>
        <v>125448000</v>
      </c>
      <c r="J49" s="190">
        <f>Mei!N49</f>
        <v>35.159192825112108</v>
      </c>
      <c r="K49" s="24">
        <f>23400000+121500</f>
        <v>23521500</v>
      </c>
      <c r="L49" s="20">
        <f t="shared" si="12"/>
        <v>6.7338963641568856</v>
      </c>
      <c r="M49" s="21">
        <f t="shared" si="13"/>
        <v>148969500</v>
      </c>
      <c r="N49" s="20">
        <f t="shared" si="14"/>
        <v>42.648010306326938</v>
      </c>
      <c r="O49" s="22"/>
      <c r="P49" s="21">
        <f t="shared" si="11"/>
        <v>200330500</v>
      </c>
    </row>
    <row r="50" spans="1:16" s="106" customFormat="1" ht="22.5" customHeight="1">
      <c r="A50" s="5">
        <v>2</v>
      </c>
      <c r="B50" s="5">
        <v>8</v>
      </c>
      <c r="C50" s="5">
        <v>1</v>
      </c>
      <c r="D50" s="6" t="s">
        <v>22</v>
      </c>
      <c r="E50" s="5"/>
      <c r="F50" s="7" t="s">
        <v>21</v>
      </c>
      <c r="G50" s="26">
        <f>SUM(G51:G53)</f>
        <v>128920000</v>
      </c>
      <c r="H50" s="9">
        <f t="shared" si="0"/>
        <v>9.6631215245728402E-3</v>
      </c>
      <c r="I50" s="8">
        <f>Mei!M50</f>
        <v>11020000</v>
      </c>
      <c r="J50" s="11">
        <f>Mei!N50</f>
        <v>3.4869665922021049</v>
      </c>
      <c r="K50" s="26">
        <f>SUM(K51:K53)</f>
        <v>49342607</v>
      </c>
      <c r="L50" s="12">
        <f t="shared" si="12"/>
        <v>38.273818647223088</v>
      </c>
      <c r="M50" s="8">
        <f t="shared" si="13"/>
        <v>60362607</v>
      </c>
      <c r="N50" s="12">
        <f t="shared" si="14"/>
        <v>46.821755352156373</v>
      </c>
      <c r="O50" s="13"/>
      <c r="P50" s="8">
        <f t="shared" si="11"/>
        <v>68557393</v>
      </c>
    </row>
    <row r="51" spans="1:16" s="3" customFormat="1" ht="31.5" customHeight="1">
      <c r="A51" s="214">
        <v>2</v>
      </c>
      <c r="B51" s="214">
        <v>8</v>
      </c>
      <c r="C51" s="214">
        <v>1</v>
      </c>
      <c r="D51" s="215" t="s">
        <v>22</v>
      </c>
      <c r="E51" s="214">
        <v>1</v>
      </c>
      <c r="F51" s="216" t="s">
        <v>69</v>
      </c>
      <c r="G51" s="219">
        <v>113290000</v>
      </c>
      <c r="H51" s="18">
        <f t="shared" si="0"/>
        <v>8.4915842190417083E-3</v>
      </c>
      <c r="I51" s="21">
        <f>Mei!M51</f>
        <v>11020000</v>
      </c>
      <c r="J51" s="190">
        <f>Mei!N51</f>
        <v>5.3654024051803884</v>
      </c>
      <c r="K51" s="21">
        <f>4065000+3676500+5418000+10836000+7353000+853000+2765000+1811107+3300000+400000+500000+500000+4840000+3025000</f>
        <v>49342607</v>
      </c>
      <c r="L51" s="20">
        <f t="shared" si="12"/>
        <v>43.554247506399506</v>
      </c>
      <c r="M51" s="21">
        <f t="shared" si="13"/>
        <v>60362607</v>
      </c>
      <c r="N51" s="20">
        <f t="shared" si="14"/>
        <v>53.281496160296584</v>
      </c>
      <c r="O51" s="22"/>
      <c r="P51" s="21">
        <f t="shared" si="11"/>
        <v>52927393</v>
      </c>
    </row>
    <row r="52" spans="1:16" s="3" customFormat="1" ht="22.5" customHeight="1">
      <c r="A52" s="214">
        <v>2</v>
      </c>
      <c r="B52" s="214">
        <v>8</v>
      </c>
      <c r="C52" s="214">
        <v>1</v>
      </c>
      <c r="D52" s="215" t="s">
        <v>22</v>
      </c>
      <c r="E52" s="214">
        <v>6</v>
      </c>
      <c r="F52" s="216" t="s">
        <v>70</v>
      </c>
      <c r="G52" s="219">
        <v>8940000</v>
      </c>
      <c r="H52" s="18">
        <f t="shared" si="0"/>
        <v>6.700923551790349E-4</v>
      </c>
      <c r="I52" s="21">
        <f>Mei!M52</f>
        <v>0</v>
      </c>
      <c r="J52" s="190">
        <f>Mei!N52</f>
        <v>0</v>
      </c>
      <c r="K52" s="21">
        <v>0</v>
      </c>
      <c r="L52" s="20">
        <f t="shared" si="12"/>
        <v>0</v>
      </c>
      <c r="M52" s="30">
        <f t="shared" si="13"/>
        <v>0</v>
      </c>
      <c r="N52" s="29">
        <f t="shared" si="14"/>
        <v>0</v>
      </c>
      <c r="O52" s="22"/>
      <c r="P52" s="21">
        <f t="shared" si="11"/>
        <v>8940000</v>
      </c>
    </row>
    <row r="53" spans="1:16" s="3" customFormat="1" ht="22.5" customHeight="1">
      <c r="A53" s="214">
        <v>2</v>
      </c>
      <c r="B53" s="214">
        <v>8</v>
      </c>
      <c r="C53" s="214">
        <v>1</v>
      </c>
      <c r="D53" s="215" t="s">
        <v>22</v>
      </c>
      <c r="E53" s="214">
        <v>9</v>
      </c>
      <c r="F53" s="216" t="s">
        <v>88</v>
      </c>
      <c r="G53" s="219">
        <v>6690000</v>
      </c>
      <c r="H53" s="18">
        <f t="shared" si="0"/>
        <v>5.0144495035209658E-4</v>
      </c>
      <c r="I53" s="21">
        <f>Mei!M53</f>
        <v>0</v>
      </c>
      <c r="J53" s="190">
        <f>Mei!N53</f>
        <v>0</v>
      </c>
      <c r="K53" s="21">
        <v>0</v>
      </c>
      <c r="L53" s="20">
        <f t="shared" si="12"/>
        <v>0</v>
      </c>
      <c r="M53" s="30">
        <f t="shared" si="13"/>
        <v>0</v>
      </c>
      <c r="N53" s="29">
        <f t="shared" si="14"/>
        <v>0</v>
      </c>
      <c r="O53" s="22"/>
      <c r="P53" s="21">
        <f t="shared" si="11"/>
        <v>6690000</v>
      </c>
    </row>
    <row r="54" spans="1:16" s="146" customFormat="1" ht="31.5" customHeight="1">
      <c r="A54" s="130"/>
      <c r="B54" s="130"/>
      <c r="C54" s="130"/>
      <c r="D54" s="131"/>
      <c r="E54" s="130"/>
      <c r="F54" s="140" t="s">
        <v>108</v>
      </c>
      <c r="G54" s="144">
        <f>G55+G67+G72</f>
        <v>441320000</v>
      </c>
      <c r="H54" s="132"/>
      <c r="I54" s="138">
        <f>Mei!M54</f>
        <v>0</v>
      </c>
      <c r="J54" s="134">
        <f>Mei!N54</f>
        <v>0</v>
      </c>
      <c r="K54" s="136"/>
      <c r="L54" s="135"/>
      <c r="M54" s="138"/>
      <c r="N54" s="139"/>
      <c r="O54" s="143"/>
      <c r="P54" s="136"/>
    </row>
    <row r="55" spans="1:16" s="49" customFormat="1" ht="22.5" customHeight="1">
      <c r="A55" s="36">
        <v>2</v>
      </c>
      <c r="B55" s="36">
        <v>8</v>
      </c>
      <c r="C55" s="36">
        <v>2</v>
      </c>
      <c r="D55" s="37"/>
      <c r="E55" s="36"/>
      <c r="F55" s="38" t="s">
        <v>20</v>
      </c>
      <c r="G55" s="46">
        <f>G56+G58</f>
        <v>90265000</v>
      </c>
      <c r="H55" s="40">
        <f>+G55/$G$119*100%</f>
        <v>6.7657591096460393E-3</v>
      </c>
      <c r="I55" s="39">
        <f>Mei!M55</f>
        <v>0</v>
      </c>
      <c r="J55" s="42">
        <f>Mei!N55</f>
        <v>0</v>
      </c>
      <c r="K55" s="46">
        <f>K56</f>
        <v>0</v>
      </c>
      <c r="L55" s="43">
        <f>K55/G55*100</f>
        <v>0</v>
      </c>
      <c r="M55" s="39">
        <f>I55+K55</f>
        <v>0</v>
      </c>
      <c r="N55" s="43">
        <f>M55/G55*100</f>
        <v>0</v>
      </c>
      <c r="O55" s="44"/>
      <c r="P55" s="39">
        <f>G55-M55</f>
        <v>90265000</v>
      </c>
    </row>
    <row r="56" spans="1:16" s="106" customFormat="1" ht="31.5" customHeight="1">
      <c r="A56" s="5">
        <v>2</v>
      </c>
      <c r="B56" s="5">
        <v>8</v>
      </c>
      <c r="C56" s="5">
        <v>2</v>
      </c>
      <c r="D56" s="6" t="s">
        <v>8</v>
      </c>
      <c r="E56" s="5"/>
      <c r="F56" s="7" t="s">
        <v>19</v>
      </c>
      <c r="G56" s="45">
        <f>SUM(G57:G57)</f>
        <v>17360000</v>
      </c>
      <c r="H56" s="9">
        <f>+G56/$G$119*100%</f>
        <v>1.3012084212425108E-3</v>
      </c>
      <c r="I56" s="8">
        <f>Mei!M56</f>
        <v>0</v>
      </c>
      <c r="J56" s="11">
        <f>Mei!N56</f>
        <v>0</v>
      </c>
      <c r="K56" s="45">
        <f>SUM(K57:K57)</f>
        <v>0</v>
      </c>
      <c r="L56" s="12">
        <f>K56/G56*100</f>
        <v>0</v>
      </c>
      <c r="M56" s="8">
        <f>I56+K56</f>
        <v>0</v>
      </c>
      <c r="N56" s="12">
        <f>M56/G56*100</f>
        <v>0</v>
      </c>
      <c r="O56" s="13"/>
      <c r="P56" s="8">
        <f>G56-M56</f>
        <v>17360000</v>
      </c>
    </row>
    <row r="57" spans="1:16" s="3" customFormat="1" ht="30" customHeight="1">
      <c r="A57" s="214">
        <v>2</v>
      </c>
      <c r="B57" s="214">
        <v>8</v>
      </c>
      <c r="C57" s="214">
        <v>2</v>
      </c>
      <c r="D57" s="215" t="s">
        <v>8</v>
      </c>
      <c r="E57" s="214">
        <v>7</v>
      </c>
      <c r="F57" s="218" t="s">
        <v>145</v>
      </c>
      <c r="G57" s="217">
        <v>17360000</v>
      </c>
      <c r="H57" s="18">
        <f>+G57/$G$119*100%</f>
        <v>1.3012084212425108E-3</v>
      </c>
      <c r="I57" s="21">
        <f>Mei!M57</f>
        <v>0</v>
      </c>
      <c r="J57" s="190">
        <f>Mei!N57</f>
        <v>0</v>
      </c>
      <c r="K57" s="21">
        <v>0</v>
      </c>
      <c r="L57" s="20">
        <f>K57/G57*100</f>
        <v>0</v>
      </c>
      <c r="M57" s="30">
        <f>I57+K57</f>
        <v>0</v>
      </c>
      <c r="N57" s="29">
        <f>M57/G57*100</f>
        <v>0</v>
      </c>
      <c r="O57" s="22"/>
      <c r="P57" s="21">
        <f>G57-M57</f>
        <v>17360000</v>
      </c>
    </row>
    <row r="58" spans="1:16" s="3" customFormat="1" ht="36" customHeight="1">
      <c r="A58" s="5">
        <v>2</v>
      </c>
      <c r="B58" s="5">
        <v>8</v>
      </c>
      <c r="C58" s="5">
        <v>2</v>
      </c>
      <c r="D58" s="6" t="s">
        <v>7</v>
      </c>
      <c r="E58" s="5"/>
      <c r="F58" s="7" t="s">
        <v>146</v>
      </c>
      <c r="G58" s="45">
        <f>SUM(G59:G59)</f>
        <v>72905000</v>
      </c>
      <c r="H58" s="9">
        <f>+G58/$G$119*100%</f>
        <v>5.4645506884035281E-3</v>
      </c>
      <c r="I58" s="8">
        <f>Mei!M58</f>
        <v>0</v>
      </c>
      <c r="J58" s="11">
        <f>Mei!N58</f>
        <v>0</v>
      </c>
      <c r="K58" s="45">
        <f>SUM(K59:K59)</f>
        <v>0</v>
      </c>
      <c r="L58" s="12">
        <f>K58/G58*100</f>
        <v>0</v>
      </c>
      <c r="M58" s="8">
        <f>I58+K58</f>
        <v>0</v>
      </c>
      <c r="N58" s="12">
        <f>M58/G58*100</f>
        <v>0</v>
      </c>
      <c r="O58" s="13"/>
      <c r="P58" s="8">
        <f>G58-M58</f>
        <v>72905000</v>
      </c>
    </row>
    <row r="59" spans="1:16" s="3" customFormat="1" ht="34.5" customHeight="1">
      <c r="A59" s="214">
        <v>2</v>
      </c>
      <c r="B59" s="214">
        <v>8</v>
      </c>
      <c r="C59" s="214">
        <v>2</v>
      </c>
      <c r="D59" s="215" t="s">
        <v>7</v>
      </c>
      <c r="E59" s="214">
        <v>3</v>
      </c>
      <c r="F59" s="218" t="s">
        <v>147</v>
      </c>
      <c r="G59" s="217">
        <v>72905000</v>
      </c>
      <c r="H59" s="18">
        <f>+G59/$G$119*100%</f>
        <v>5.4645506884035281E-3</v>
      </c>
      <c r="I59" s="21">
        <f>Mei!M59</f>
        <v>0</v>
      </c>
      <c r="J59" s="190">
        <f>Mei!N59</f>
        <v>0</v>
      </c>
      <c r="K59" s="21">
        <v>0</v>
      </c>
      <c r="L59" s="20">
        <f>K59/G59*100</f>
        <v>0</v>
      </c>
      <c r="M59" s="30">
        <f>I59+K59</f>
        <v>0</v>
      </c>
      <c r="N59" s="29">
        <f>M59/G59*100</f>
        <v>0</v>
      </c>
      <c r="O59" s="22"/>
      <c r="P59" s="21">
        <f>G59-M59</f>
        <v>72905000</v>
      </c>
    </row>
    <row r="60" spans="1:16" s="146" customFormat="1" ht="31.5" customHeight="1">
      <c r="A60" s="130"/>
      <c r="B60" s="130"/>
      <c r="C60" s="130"/>
      <c r="D60" s="131"/>
      <c r="E60" s="130"/>
      <c r="F60" s="140" t="s">
        <v>103</v>
      </c>
      <c r="G60" s="144">
        <f>G61</f>
        <v>145888000</v>
      </c>
      <c r="H60" s="132"/>
      <c r="I60" s="138">
        <f>Mei!M60</f>
        <v>0</v>
      </c>
      <c r="J60" s="134">
        <f>Mei!N60</f>
        <v>0</v>
      </c>
      <c r="K60" s="136"/>
      <c r="L60" s="135"/>
      <c r="M60" s="138"/>
      <c r="N60" s="139"/>
      <c r="O60" s="143"/>
      <c r="P60" s="136"/>
    </row>
    <row r="61" spans="1:16" s="49" customFormat="1" ht="22.5" customHeight="1">
      <c r="A61" s="36">
        <v>2</v>
      </c>
      <c r="B61" s="36">
        <v>8</v>
      </c>
      <c r="C61" s="36">
        <v>3</v>
      </c>
      <c r="D61" s="37"/>
      <c r="E61" s="36"/>
      <c r="F61" s="38" t="s">
        <v>2</v>
      </c>
      <c r="G61" s="47">
        <f>G62+G64</f>
        <v>145888000</v>
      </c>
      <c r="H61" s="40">
        <f t="shared" ref="H61:H74" si="15">+G61/$G$119*100%</f>
        <v>1.0934947820174391E-2</v>
      </c>
      <c r="I61" s="39">
        <f>Mei!M61</f>
        <v>0</v>
      </c>
      <c r="J61" s="42">
        <f>Mei!N61</f>
        <v>0</v>
      </c>
      <c r="K61" s="47">
        <f>K62+K64</f>
        <v>21254060</v>
      </c>
      <c r="L61" s="43">
        <f t="shared" ref="L61:L74" si="16">K61/G61*100</f>
        <v>14.568751370914674</v>
      </c>
      <c r="M61" s="39">
        <f t="shared" ref="M61:M74" si="17">I61+K61</f>
        <v>21254060</v>
      </c>
      <c r="N61" s="43">
        <f t="shared" ref="N61:N74" si="18">M61/G61*100</f>
        <v>14.568751370914674</v>
      </c>
      <c r="O61" s="44"/>
      <c r="P61" s="39">
        <f t="shared" ref="P61:P74" si="19">G61-M61</f>
        <v>124633940</v>
      </c>
    </row>
    <row r="62" spans="1:16" s="106" customFormat="1" ht="32.25" customHeight="1">
      <c r="A62" s="5">
        <v>2</v>
      </c>
      <c r="B62" s="5">
        <v>8</v>
      </c>
      <c r="C62" s="5">
        <v>3</v>
      </c>
      <c r="D62" s="6" t="s">
        <v>8</v>
      </c>
      <c r="E62" s="5"/>
      <c r="F62" s="7" t="s">
        <v>18</v>
      </c>
      <c r="G62" s="45">
        <f>G63</f>
        <v>123413000</v>
      </c>
      <c r="H62" s="9">
        <f t="shared" si="15"/>
        <v>9.250347631958639E-3</v>
      </c>
      <c r="I62" s="8">
        <f>Mei!M62</f>
        <v>0</v>
      </c>
      <c r="J62" s="11">
        <f>Mei!N62</f>
        <v>0</v>
      </c>
      <c r="K62" s="45">
        <f>K63</f>
        <v>21254060</v>
      </c>
      <c r="L62" s="12">
        <f t="shared" si="16"/>
        <v>17.221897206939303</v>
      </c>
      <c r="M62" s="8">
        <f t="shared" si="17"/>
        <v>21254060</v>
      </c>
      <c r="N62" s="12">
        <f t="shared" si="18"/>
        <v>17.221897206939303</v>
      </c>
      <c r="O62" s="13"/>
      <c r="P62" s="8">
        <f t="shared" si="19"/>
        <v>102158940</v>
      </c>
    </row>
    <row r="63" spans="1:16" s="3" customFormat="1" ht="32.25" customHeight="1">
      <c r="A63" s="214">
        <v>2</v>
      </c>
      <c r="B63" s="214">
        <v>8</v>
      </c>
      <c r="C63" s="214">
        <v>3</v>
      </c>
      <c r="D63" s="215" t="s">
        <v>8</v>
      </c>
      <c r="E63" s="214">
        <v>1</v>
      </c>
      <c r="F63" s="216" t="s">
        <v>71</v>
      </c>
      <c r="G63" s="217">
        <v>123413000</v>
      </c>
      <c r="H63" s="18">
        <f t="shared" si="15"/>
        <v>9.250347631958639E-3</v>
      </c>
      <c r="I63" s="21">
        <f>Mei!M63</f>
        <v>0</v>
      </c>
      <c r="J63" s="190">
        <f>Mei!N63</f>
        <v>0</v>
      </c>
      <c r="K63" s="21">
        <f>960000+400000+1670000+750000+4882060+5550000+1800000+1850000+1396000+1996000</f>
        <v>21254060</v>
      </c>
      <c r="L63" s="20">
        <f t="shared" si="16"/>
        <v>17.221897206939303</v>
      </c>
      <c r="M63" s="21">
        <f t="shared" si="17"/>
        <v>21254060</v>
      </c>
      <c r="N63" s="20">
        <f t="shared" si="18"/>
        <v>17.221897206939303</v>
      </c>
      <c r="O63" s="22"/>
      <c r="P63" s="21">
        <f t="shared" si="19"/>
        <v>102158940</v>
      </c>
    </row>
    <row r="64" spans="1:16" s="106" customFormat="1" ht="32.25" customHeight="1">
      <c r="A64" s="5">
        <v>2</v>
      </c>
      <c r="B64" s="5">
        <v>8</v>
      </c>
      <c r="C64" s="5">
        <v>3</v>
      </c>
      <c r="D64" s="6" t="s">
        <v>14</v>
      </c>
      <c r="E64" s="5"/>
      <c r="F64" s="7" t="s">
        <v>17</v>
      </c>
      <c r="G64" s="45">
        <f>G65+G66</f>
        <v>22475000</v>
      </c>
      <c r="H64" s="9">
        <f t="shared" si="15"/>
        <v>1.6846001882157506E-3</v>
      </c>
      <c r="I64" s="8">
        <f>Mei!M64</f>
        <v>0</v>
      </c>
      <c r="J64" s="11">
        <f>Mei!N64</f>
        <v>0</v>
      </c>
      <c r="K64" s="45">
        <f>K65+K66</f>
        <v>0</v>
      </c>
      <c r="L64" s="108">
        <f t="shared" si="16"/>
        <v>0</v>
      </c>
      <c r="M64" s="8">
        <f t="shared" si="17"/>
        <v>0</v>
      </c>
      <c r="N64" s="12">
        <f t="shared" si="18"/>
        <v>0</v>
      </c>
      <c r="O64" s="13"/>
      <c r="P64" s="8">
        <f t="shared" si="19"/>
        <v>22475000</v>
      </c>
    </row>
    <row r="65" spans="1:16" s="3" customFormat="1" ht="32.25" customHeight="1">
      <c r="A65" s="214">
        <v>2</v>
      </c>
      <c r="B65" s="214">
        <v>8</v>
      </c>
      <c r="C65" s="214">
        <v>3</v>
      </c>
      <c r="D65" s="215" t="s">
        <v>14</v>
      </c>
      <c r="E65" s="214">
        <v>2</v>
      </c>
      <c r="F65" s="216" t="s">
        <v>72</v>
      </c>
      <c r="G65" s="217">
        <v>22475000</v>
      </c>
      <c r="H65" s="18">
        <f t="shared" si="15"/>
        <v>1.6846001882157506E-3</v>
      </c>
      <c r="I65" s="21">
        <f>Mei!M65</f>
        <v>0</v>
      </c>
      <c r="J65" s="190">
        <f>Mei!N65</f>
        <v>0</v>
      </c>
      <c r="K65" s="21">
        <v>0</v>
      </c>
      <c r="L65" s="20">
        <f t="shared" si="16"/>
        <v>0</v>
      </c>
      <c r="M65" s="30">
        <f t="shared" si="17"/>
        <v>0</v>
      </c>
      <c r="N65" s="29">
        <f t="shared" si="18"/>
        <v>0</v>
      </c>
      <c r="O65" s="22"/>
      <c r="P65" s="21">
        <f t="shared" si="19"/>
        <v>22475000</v>
      </c>
    </row>
    <row r="66" spans="1:16" s="3" customFormat="1" ht="32.25" customHeight="1">
      <c r="A66" s="214">
        <v>2</v>
      </c>
      <c r="B66" s="214">
        <v>8</v>
      </c>
      <c r="C66" s="214">
        <v>3</v>
      </c>
      <c r="D66" s="215" t="s">
        <v>14</v>
      </c>
      <c r="E66" s="214">
        <v>3</v>
      </c>
      <c r="F66" s="216" t="s">
        <v>73</v>
      </c>
      <c r="G66" s="217">
        <v>0</v>
      </c>
      <c r="H66" s="18">
        <f t="shared" si="15"/>
        <v>0</v>
      </c>
      <c r="I66" s="21">
        <f>Mei!M66</f>
        <v>0</v>
      </c>
      <c r="J66" s="190">
        <f>Mei!N66</f>
        <v>0</v>
      </c>
      <c r="K66" s="21">
        <v>0</v>
      </c>
      <c r="L66" s="20" t="e">
        <f t="shared" si="16"/>
        <v>#DIV/0!</v>
      </c>
      <c r="M66" s="30">
        <f t="shared" si="17"/>
        <v>0</v>
      </c>
      <c r="N66" s="20" t="e">
        <f t="shared" si="18"/>
        <v>#DIV/0!</v>
      </c>
      <c r="O66" s="22"/>
      <c r="P66" s="21">
        <f t="shared" si="19"/>
        <v>0</v>
      </c>
    </row>
    <row r="67" spans="1:16" s="49" customFormat="1" ht="26.25" customHeight="1">
      <c r="A67" s="36">
        <v>2</v>
      </c>
      <c r="B67" s="36">
        <v>8</v>
      </c>
      <c r="C67" s="36">
        <v>4</v>
      </c>
      <c r="D67" s="37"/>
      <c r="E67" s="36"/>
      <c r="F67" s="38" t="s">
        <v>111</v>
      </c>
      <c r="G67" s="46">
        <f>G68+G70</f>
        <v>337220000</v>
      </c>
      <c r="H67" s="40">
        <f t="shared" si="15"/>
        <v>2.5276123491440063E-2</v>
      </c>
      <c r="I67" s="39">
        <f>Mei!M67</f>
        <v>0</v>
      </c>
      <c r="J67" s="42">
        <f>Mei!N67</f>
        <v>0</v>
      </c>
      <c r="K67" s="46">
        <f>K68</f>
        <v>8000000</v>
      </c>
      <c r="L67" s="43">
        <f t="shared" si="16"/>
        <v>2.3723385327086173</v>
      </c>
      <c r="M67" s="39">
        <f t="shared" si="17"/>
        <v>8000000</v>
      </c>
      <c r="N67" s="43">
        <f t="shared" si="18"/>
        <v>2.3723385327086173</v>
      </c>
      <c r="O67" s="48"/>
      <c r="P67" s="39">
        <f t="shared" si="19"/>
        <v>329220000</v>
      </c>
    </row>
    <row r="68" spans="1:16" s="106" customFormat="1" ht="35.25" customHeight="1">
      <c r="A68" s="5">
        <v>2</v>
      </c>
      <c r="B68" s="5">
        <v>8</v>
      </c>
      <c r="C68" s="5">
        <v>4</v>
      </c>
      <c r="D68" s="6" t="s">
        <v>8</v>
      </c>
      <c r="E68" s="5"/>
      <c r="F68" s="167" t="s">
        <v>121</v>
      </c>
      <c r="G68" s="45">
        <f>G69</f>
        <v>337220000</v>
      </c>
      <c r="H68" s="9">
        <f t="shared" si="15"/>
        <v>2.5276123491440063E-2</v>
      </c>
      <c r="I68" s="8">
        <f>Mei!M68</f>
        <v>0</v>
      </c>
      <c r="J68" s="11">
        <f>Mei!N68</f>
        <v>0</v>
      </c>
      <c r="K68" s="45">
        <f>K69</f>
        <v>8000000</v>
      </c>
      <c r="L68" s="12">
        <f t="shared" si="16"/>
        <v>2.3723385327086173</v>
      </c>
      <c r="M68" s="8">
        <f t="shared" si="17"/>
        <v>8000000</v>
      </c>
      <c r="N68" s="12">
        <f t="shared" si="18"/>
        <v>2.3723385327086173</v>
      </c>
      <c r="O68" s="13"/>
      <c r="P68" s="8">
        <f t="shared" si="19"/>
        <v>329220000</v>
      </c>
    </row>
    <row r="69" spans="1:16" s="3" customFormat="1" ht="34.5" customHeight="1">
      <c r="A69" s="214">
        <v>2</v>
      </c>
      <c r="B69" s="214">
        <v>8</v>
      </c>
      <c r="C69" s="214">
        <v>4</v>
      </c>
      <c r="D69" s="215" t="s">
        <v>8</v>
      </c>
      <c r="E69" s="214">
        <v>3</v>
      </c>
      <c r="F69" s="218" t="s">
        <v>148</v>
      </c>
      <c r="G69" s="217">
        <v>337220000</v>
      </c>
      <c r="H69" s="18">
        <f t="shared" si="15"/>
        <v>2.5276123491440063E-2</v>
      </c>
      <c r="I69" s="21">
        <f>Mei!M69</f>
        <v>0</v>
      </c>
      <c r="J69" s="190">
        <f>Mei!N69</f>
        <v>0</v>
      </c>
      <c r="K69" s="21">
        <f>1500000+6500000</f>
        <v>8000000</v>
      </c>
      <c r="L69" s="20">
        <f t="shared" si="16"/>
        <v>2.3723385327086173</v>
      </c>
      <c r="M69" s="21">
        <f t="shared" si="17"/>
        <v>8000000</v>
      </c>
      <c r="N69" s="20">
        <f t="shared" si="18"/>
        <v>2.3723385327086173</v>
      </c>
      <c r="O69" s="22"/>
      <c r="P69" s="21">
        <f t="shared" si="19"/>
        <v>329220000</v>
      </c>
    </row>
    <row r="70" spans="1:16" s="3" customFormat="1" ht="36" customHeight="1">
      <c r="A70" s="5">
        <v>2</v>
      </c>
      <c r="B70" s="5">
        <v>8</v>
      </c>
      <c r="C70" s="5">
        <v>4</v>
      </c>
      <c r="D70" s="6" t="s">
        <v>7</v>
      </c>
      <c r="E70" s="5"/>
      <c r="F70" s="167" t="s">
        <v>149</v>
      </c>
      <c r="G70" s="45">
        <f>G71</f>
        <v>0</v>
      </c>
      <c r="H70" s="9">
        <f t="shared" si="15"/>
        <v>0</v>
      </c>
      <c r="I70" s="8">
        <f>Mei!M70</f>
        <v>0</v>
      </c>
      <c r="J70" s="11">
        <f>Mei!N70</f>
        <v>0</v>
      </c>
      <c r="K70" s="45">
        <f>K71</f>
        <v>0</v>
      </c>
      <c r="L70" s="108" t="e">
        <f t="shared" si="16"/>
        <v>#DIV/0!</v>
      </c>
      <c r="M70" s="8">
        <f t="shared" si="17"/>
        <v>0</v>
      </c>
      <c r="N70" s="12" t="e">
        <f t="shared" si="18"/>
        <v>#DIV/0!</v>
      </c>
      <c r="O70" s="13"/>
      <c r="P70" s="8">
        <f t="shared" si="19"/>
        <v>0</v>
      </c>
    </row>
    <row r="71" spans="1:16" s="3" customFormat="1" ht="32.25" customHeight="1">
      <c r="A71" s="214">
        <v>2</v>
      </c>
      <c r="B71" s="214">
        <v>8</v>
      </c>
      <c r="C71" s="214">
        <v>4</v>
      </c>
      <c r="D71" s="215" t="s">
        <v>7</v>
      </c>
      <c r="E71" s="214">
        <v>2</v>
      </c>
      <c r="F71" s="218" t="s">
        <v>150</v>
      </c>
      <c r="G71" s="217">
        <v>0</v>
      </c>
      <c r="H71" s="18">
        <f t="shared" si="15"/>
        <v>0</v>
      </c>
      <c r="I71" s="21">
        <f>Mei!M71</f>
        <v>0</v>
      </c>
      <c r="J71" s="190">
        <f>Mei!N71</f>
        <v>0</v>
      </c>
      <c r="K71" s="21">
        <v>0</v>
      </c>
      <c r="L71" s="20" t="e">
        <f t="shared" si="16"/>
        <v>#DIV/0!</v>
      </c>
      <c r="M71" s="21">
        <f t="shared" si="17"/>
        <v>0</v>
      </c>
      <c r="N71" s="20" t="e">
        <f t="shared" si="18"/>
        <v>#DIV/0!</v>
      </c>
      <c r="O71" s="22"/>
      <c r="P71" s="21">
        <f t="shared" si="19"/>
        <v>0</v>
      </c>
    </row>
    <row r="72" spans="1:16" s="3" customFormat="1" ht="32.25" customHeight="1">
      <c r="A72" s="36">
        <v>2</v>
      </c>
      <c r="B72" s="36">
        <v>8</v>
      </c>
      <c r="C72" s="36">
        <v>5</v>
      </c>
      <c r="D72" s="37"/>
      <c r="E72" s="36"/>
      <c r="F72" s="38" t="s">
        <v>151</v>
      </c>
      <c r="G72" s="46">
        <f>G73</f>
        <v>13835000</v>
      </c>
      <c r="H72" s="40">
        <f t="shared" si="15"/>
        <v>1.0369941536803075E-3</v>
      </c>
      <c r="I72" s="39">
        <f>Mei!M72</f>
        <v>0</v>
      </c>
      <c r="J72" s="42">
        <f>Mei!N72</f>
        <v>0</v>
      </c>
      <c r="K72" s="46">
        <f>+K73</f>
        <v>3400000</v>
      </c>
      <c r="L72" s="43">
        <f t="shared" si="16"/>
        <v>24.575352367184678</v>
      </c>
      <c r="M72" s="39">
        <f t="shared" si="17"/>
        <v>3400000</v>
      </c>
      <c r="N72" s="43">
        <f t="shared" si="18"/>
        <v>24.575352367184678</v>
      </c>
      <c r="O72" s="48"/>
      <c r="P72" s="39">
        <f t="shared" si="19"/>
        <v>10435000</v>
      </c>
    </row>
    <row r="73" spans="1:16" s="3" customFormat="1" ht="32.25" customHeight="1">
      <c r="A73" s="5">
        <v>2</v>
      </c>
      <c r="B73" s="5">
        <v>8</v>
      </c>
      <c r="C73" s="5">
        <v>5</v>
      </c>
      <c r="D73" s="6" t="s">
        <v>8</v>
      </c>
      <c r="E73" s="5"/>
      <c r="F73" s="167" t="s">
        <v>152</v>
      </c>
      <c r="G73" s="45">
        <f>G74</f>
        <v>13835000</v>
      </c>
      <c r="H73" s="9">
        <f t="shared" si="15"/>
        <v>1.0369941536803075E-3</v>
      </c>
      <c r="I73" s="8">
        <f>Mei!M73</f>
        <v>0</v>
      </c>
      <c r="J73" s="11">
        <f>Mei!N73</f>
        <v>0</v>
      </c>
      <c r="K73" s="45">
        <f>K74</f>
        <v>3400000</v>
      </c>
      <c r="L73" s="12">
        <f t="shared" si="16"/>
        <v>24.575352367184678</v>
      </c>
      <c r="M73" s="8">
        <f t="shared" si="17"/>
        <v>3400000</v>
      </c>
      <c r="N73" s="12">
        <f t="shared" si="18"/>
        <v>24.575352367184678</v>
      </c>
      <c r="O73" s="13"/>
      <c r="P73" s="8">
        <f t="shared" si="19"/>
        <v>10435000</v>
      </c>
    </row>
    <row r="74" spans="1:16" s="3" customFormat="1" ht="30.75" customHeight="1">
      <c r="A74" s="214">
        <v>2</v>
      </c>
      <c r="B74" s="214">
        <v>8</v>
      </c>
      <c r="C74" s="214">
        <v>5</v>
      </c>
      <c r="D74" s="215" t="s">
        <v>8</v>
      </c>
      <c r="E74" s="214">
        <v>1</v>
      </c>
      <c r="F74" s="218" t="s">
        <v>153</v>
      </c>
      <c r="G74" s="217">
        <v>13835000</v>
      </c>
      <c r="H74" s="18">
        <f t="shared" si="15"/>
        <v>1.0369941536803075E-3</v>
      </c>
      <c r="I74" s="21">
        <f>Mei!M74</f>
        <v>0</v>
      </c>
      <c r="J74" s="190">
        <f>Mei!N74</f>
        <v>0</v>
      </c>
      <c r="K74" s="21">
        <f>2000000+1400000</f>
        <v>3400000</v>
      </c>
      <c r="L74" s="20">
        <f t="shared" si="16"/>
        <v>24.575352367184678</v>
      </c>
      <c r="M74" s="21">
        <f t="shared" si="17"/>
        <v>3400000</v>
      </c>
      <c r="N74" s="20">
        <f t="shared" si="18"/>
        <v>24.575352367184678</v>
      </c>
      <c r="O74" s="22"/>
      <c r="P74" s="21">
        <f t="shared" si="19"/>
        <v>10435000</v>
      </c>
    </row>
    <row r="75" spans="1:16" s="146" customFormat="1" ht="30" customHeight="1">
      <c r="A75" s="130"/>
      <c r="B75" s="130"/>
      <c r="C75" s="130"/>
      <c r="D75" s="131"/>
      <c r="E75" s="130"/>
      <c r="F75" s="140" t="s">
        <v>104</v>
      </c>
      <c r="G75" s="144">
        <f>G76</f>
        <v>171883200</v>
      </c>
      <c r="H75" s="132"/>
      <c r="I75" s="138">
        <f>Mei!M75</f>
        <v>0</v>
      </c>
      <c r="J75" s="134">
        <f>Mei!N75</f>
        <v>0</v>
      </c>
      <c r="K75" s="136"/>
      <c r="L75" s="135"/>
      <c r="M75" s="138"/>
      <c r="N75" s="139"/>
      <c r="O75" s="137"/>
      <c r="P75" s="136"/>
    </row>
    <row r="76" spans="1:16" s="49" customFormat="1" ht="23.25" customHeight="1">
      <c r="A76" s="36">
        <v>2</v>
      </c>
      <c r="B76" s="36">
        <v>8</v>
      </c>
      <c r="C76" s="36">
        <v>6</v>
      </c>
      <c r="D76" s="37"/>
      <c r="E76" s="36"/>
      <c r="F76" s="38" t="s">
        <v>16</v>
      </c>
      <c r="G76" s="46">
        <f>G77+G80</f>
        <v>171883200</v>
      </c>
      <c r="H76" s="40">
        <f t="shared" ref="H76:H81" si="20">+G76/$G$119*100%</f>
        <v>1.2883402494822047E-2</v>
      </c>
      <c r="I76" s="39">
        <f>Mei!M76</f>
        <v>0</v>
      </c>
      <c r="J76" s="42">
        <f>Mei!N76</f>
        <v>0</v>
      </c>
      <c r="K76" s="46">
        <f>+K77</f>
        <v>2055000</v>
      </c>
      <c r="L76" s="43">
        <f t="shared" ref="L76:L81" si="21">K76/G76*100</f>
        <v>1.1955793236337233</v>
      </c>
      <c r="M76" s="39">
        <f t="shared" ref="M76:M81" si="22">I76+K76</f>
        <v>2055000</v>
      </c>
      <c r="N76" s="43">
        <f t="shared" ref="N76:N81" si="23">M76/G76*100</f>
        <v>1.1955793236337233</v>
      </c>
      <c r="O76" s="44"/>
      <c r="P76" s="39">
        <f t="shared" ref="P76:P81" si="24">G76-M76</f>
        <v>169828200</v>
      </c>
    </row>
    <row r="77" spans="1:16" s="106" customFormat="1" ht="36" customHeight="1">
      <c r="A77" s="5">
        <v>2</v>
      </c>
      <c r="B77" s="5">
        <v>8</v>
      </c>
      <c r="C77" s="5">
        <v>6</v>
      </c>
      <c r="D77" s="6" t="s">
        <v>8</v>
      </c>
      <c r="E77" s="5"/>
      <c r="F77" s="7" t="s">
        <v>15</v>
      </c>
      <c r="G77" s="45">
        <f>G78+G79</f>
        <v>156094000</v>
      </c>
      <c r="H77" s="9">
        <f t="shared" si="20"/>
        <v>1.1699932448469383E-2</v>
      </c>
      <c r="I77" s="8">
        <f>Mei!M77</f>
        <v>0</v>
      </c>
      <c r="J77" s="11">
        <f>Mei!N77</f>
        <v>0</v>
      </c>
      <c r="K77" s="45">
        <f>K78+K79</f>
        <v>2055000</v>
      </c>
      <c r="L77" s="12">
        <f t="shared" si="21"/>
        <v>1.3165144079849322</v>
      </c>
      <c r="M77" s="8">
        <f t="shared" si="22"/>
        <v>2055000</v>
      </c>
      <c r="N77" s="12">
        <f t="shared" si="23"/>
        <v>1.3165144079849322</v>
      </c>
      <c r="O77" s="13"/>
      <c r="P77" s="8">
        <f t="shared" si="24"/>
        <v>154039000</v>
      </c>
    </row>
    <row r="78" spans="1:16" s="3" customFormat="1" ht="30" customHeight="1">
      <c r="A78" s="214">
        <v>2</v>
      </c>
      <c r="B78" s="214">
        <v>8</v>
      </c>
      <c r="C78" s="214">
        <v>6</v>
      </c>
      <c r="D78" s="215" t="s">
        <v>8</v>
      </c>
      <c r="E78" s="214">
        <v>2</v>
      </c>
      <c r="F78" s="218" t="s">
        <v>122</v>
      </c>
      <c r="G78" s="217">
        <v>88539900</v>
      </c>
      <c r="H78" s="18">
        <f t="shared" si="20"/>
        <v>6.6364552705051715E-3</v>
      </c>
      <c r="I78" s="21">
        <f>Mei!M78</f>
        <v>0</v>
      </c>
      <c r="J78" s="190">
        <f>Mei!N78</f>
        <v>0</v>
      </c>
      <c r="K78" s="21">
        <v>0</v>
      </c>
      <c r="L78" s="20">
        <f t="shared" si="21"/>
        <v>0</v>
      </c>
      <c r="M78" s="30">
        <f t="shared" si="22"/>
        <v>0</v>
      </c>
      <c r="N78" s="29">
        <f t="shared" si="23"/>
        <v>0</v>
      </c>
      <c r="O78" s="22"/>
      <c r="P78" s="21">
        <f t="shared" si="24"/>
        <v>88539900</v>
      </c>
    </row>
    <row r="79" spans="1:16" s="3" customFormat="1" ht="43.5" customHeight="1">
      <c r="A79" s="214">
        <v>2</v>
      </c>
      <c r="B79" s="214">
        <v>8</v>
      </c>
      <c r="C79" s="214">
        <v>6</v>
      </c>
      <c r="D79" s="215" t="s">
        <v>8</v>
      </c>
      <c r="E79" s="214">
        <v>3</v>
      </c>
      <c r="F79" s="218" t="s">
        <v>123</v>
      </c>
      <c r="G79" s="217">
        <v>67554100</v>
      </c>
      <c r="H79" s="18">
        <f t="shared" si="20"/>
        <v>5.0634771779642105E-3</v>
      </c>
      <c r="I79" s="21">
        <f>Mei!M79</f>
        <v>0</v>
      </c>
      <c r="J79" s="190">
        <f>Mei!N79</f>
        <v>0</v>
      </c>
      <c r="K79" s="21">
        <f>375000+225000+955000+500000</f>
        <v>2055000</v>
      </c>
      <c r="L79" s="20">
        <f t="shared" si="21"/>
        <v>3.042006332702234</v>
      </c>
      <c r="M79" s="21">
        <f t="shared" si="22"/>
        <v>2055000</v>
      </c>
      <c r="N79" s="20">
        <f t="shared" si="23"/>
        <v>3.042006332702234</v>
      </c>
      <c r="O79" s="22"/>
      <c r="P79" s="21">
        <f t="shared" si="24"/>
        <v>65499100</v>
      </c>
    </row>
    <row r="80" spans="1:16" s="3" customFormat="1" ht="33.75" customHeight="1">
      <c r="A80" s="5">
        <v>2</v>
      </c>
      <c r="B80" s="5">
        <v>8</v>
      </c>
      <c r="C80" s="5">
        <v>6</v>
      </c>
      <c r="D80" s="6" t="s">
        <v>7</v>
      </c>
      <c r="E80" s="5"/>
      <c r="F80" s="167" t="s">
        <v>124</v>
      </c>
      <c r="G80" s="45">
        <f>G81</f>
        <v>15789200</v>
      </c>
      <c r="H80" s="9">
        <f t="shared" si="20"/>
        <v>1.1834700463526642E-3</v>
      </c>
      <c r="I80" s="8">
        <f>Mei!M80</f>
        <v>0</v>
      </c>
      <c r="J80" s="11">
        <f>Mei!N80</f>
        <v>0</v>
      </c>
      <c r="K80" s="45">
        <f>K81+K82</f>
        <v>0</v>
      </c>
      <c r="L80" s="108">
        <f t="shared" si="21"/>
        <v>0</v>
      </c>
      <c r="M80" s="8">
        <f t="shared" si="22"/>
        <v>0</v>
      </c>
      <c r="N80" s="12">
        <f t="shared" si="23"/>
        <v>0</v>
      </c>
      <c r="O80" s="13"/>
      <c r="P80" s="8">
        <f t="shared" si="24"/>
        <v>15789200</v>
      </c>
    </row>
    <row r="81" spans="1:16" s="3" customFormat="1" ht="27.75" customHeight="1">
      <c r="A81" s="214">
        <v>2</v>
      </c>
      <c r="B81" s="214">
        <v>8</v>
      </c>
      <c r="C81" s="214">
        <v>6</v>
      </c>
      <c r="D81" s="215" t="s">
        <v>7</v>
      </c>
      <c r="E81" s="214">
        <v>6</v>
      </c>
      <c r="F81" s="218" t="s">
        <v>125</v>
      </c>
      <c r="G81" s="217">
        <v>15789200</v>
      </c>
      <c r="H81" s="18">
        <f t="shared" si="20"/>
        <v>1.1834700463526642E-3</v>
      </c>
      <c r="I81" s="21">
        <f>Mei!M81</f>
        <v>0</v>
      </c>
      <c r="J81" s="190">
        <f>Mei!N81</f>
        <v>0</v>
      </c>
      <c r="K81" s="30">
        <v>0</v>
      </c>
      <c r="L81" s="20">
        <f t="shared" si="21"/>
        <v>0</v>
      </c>
      <c r="M81" s="30">
        <f t="shared" si="22"/>
        <v>0</v>
      </c>
      <c r="N81" s="29">
        <f t="shared" si="23"/>
        <v>0</v>
      </c>
      <c r="O81" s="22"/>
      <c r="P81" s="21">
        <f t="shared" si="24"/>
        <v>15789200</v>
      </c>
    </row>
    <row r="82" spans="1:16" s="3" customFormat="1" ht="30" customHeight="1">
      <c r="A82" s="130"/>
      <c r="B82" s="130"/>
      <c r="C82" s="130"/>
      <c r="D82" s="131"/>
      <c r="E82" s="130"/>
      <c r="F82" s="140" t="s">
        <v>105</v>
      </c>
      <c r="G82" s="144">
        <f>G83</f>
        <v>664592900</v>
      </c>
      <c r="H82" s="132"/>
      <c r="I82" s="138">
        <f>Mei!M82</f>
        <v>0</v>
      </c>
      <c r="J82" s="134">
        <f>Mei!N82</f>
        <v>0</v>
      </c>
      <c r="K82" s="136"/>
      <c r="L82" s="135"/>
      <c r="M82" s="138"/>
      <c r="N82" s="139"/>
      <c r="O82" s="143"/>
      <c r="P82" s="136"/>
    </row>
    <row r="83" spans="1:16" s="49" customFormat="1" ht="27" customHeight="1">
      <c r="A83" s="36">
        <v>2</v>
      </c>
      <c r="B83" s="36">
        <v>8</v>
      </c>
      <c r="C83" s="36">
        <v>7</v>
      </c>
      <c r="D83" s="37"/>
      <c r="E83" s="36"/>
      <c r="F83" s="38" t="s">
        <v>94</v>
      </c>
      <c r="G83" s="46">
        <f>G84+G86</f>
        <v>664592900</v>
      </c>
      <c r="H83" s="40">
        <f>+G83/$G$119*100%</f>
        <v>4.9814163489515083E-2</v>
      </c>
      <c r="I83" s="39">
        <f>Mei!M83</f>
        <v>81992000</v>
      </c>
      <c r="J83" s="42">
        <f>Mei!N83</f>
        <v>11.866682471156444</v>
      </c>
      <c r="K83" s="46">
        <f>K84+K86</f>
        <v>7163900</v>
      </c>
      <c r="L83" s="43">
        <f>K83/G83*100</f>
        <v>1.0779380881137912</v>
      </c>
      <c r="M83" s="39">
        <f>I83+K83</f>
        <v>89155900</v>
      </c>
      <c r="N83" s="43">
        <f>M83/G83*100</f>
        <v>13.415114726624374</v>
      </c>
      <c r="O83" s="44"/>
      <c r="P83" s="39">
        <f>G83-M83</f>
        <v>575437000</v>
      </c>
    </row>
    <row r="84" spans="1:16" s="106" customFormat="1" ht="40.5" customHeight="1">
      <c r="A84" s="5">
        <v>2</v>
      </c>
      <c r="B84" s="5">
        <v>8</v>
      </c>
      <c r="C84" s="5">
        <v>7</v>
      </c>
      <c r="D84" s="6" t="s">
        <v>8</v>
      </c>
      <c r="E84" s="5"/>
      <c r="F84" s="7" t="s">
        <v>43</v>
      </c>
      <c r="G84" s="45">
        <f>G85</f>
        <v>616072900</v>
      </c>
      <c r="H84" s="9">
        <f>+G84/$G$119*100%</f>
        <v>4.6177375897424842E-2</v>
      </c>
      <c r="I84" s="8">
        <f>Mei!M84</f>
        <v>81992000</v>
      </c>
      <c r="J84" s="11">
        <f>Mei!N84</f>
        <v>15.949488875994048</v>
      </c>
      <c r="K84" s="45">
        <f>K85</f>
        <v>7163900</v>
      </c>
      <c r="L84" s="12">
        <f>K84/G84*100</f>
        <v>1.1628331647115138</v>
      </c>
      <c r="M84" s="8">
        <f>I84+K84</f>
        <v>89155900</v>
      </c>
      <c r="N84" s="12">
        <f>M84/G84*100</f>
        <v>14.471647754673189</v>
      </c>
      <c r="O84" s="13"/>
      <c r="P84" s="8">
        <f>G84-M84</f>
        <v>526917000</v>
      </c>
    </row>
    <row r="85" spans="1:16" s="3" customFormat="1" ht="40.5" customHeight="1">
      <c r="A85" s="214">
        <v>2</v>
      </c>
      <c r="B85" s="214">
        <v>8</v>
      </c>
      <c r="C85" s="214">
        <v>7</v>
      </c>
      <c r="D85" s="215" t="s">
        <v>8</v>
      </c>
      <c r="E85" s="214">
        <v>2</v>
      </c>
      <c r="F85" s="216" t="s">
        <v>82</v>
      </c>
      <c r="G85" s="217">
        <v>616072900</v>
      </c>
      <c r="H85" s="18">
        <f>+G85/$G$119*100%</f>
        <v>4.6177375897424842E-2</v>
      </c>
      <c r="I85" s="21">
        <f>Mei!M85</f>
        <v>81992000</v>
      </c>
      <c r="J85" s="190">
        <f>Mei!N85</f>
        <v>15.949488875994048</v>
      </c>
      <c r="K85" s="21">
        <f>593900+300000+1620000+150000+600000+1400000+450000+1050000+300000+700000</f>
        <v>7163900</v>
      </c>
      <c r="L85" s="20">
        <f>K85/G85*100</f>
        <v>1.1628331647115138</v>
      </c>
      <c r="M85" s="21">
        <f>I85+K85</f>
        <v>89155900</v>
      </c>
      <c r="N85" s="20">
        <f>M85/G85*100</f>
        <v>14.471647754673189</v>
      </c>
      <c r="O85" s="22"/>
      <c r="P85" s="21">
        <f>G85-M85</f>
        <v>526917000</v>
      </c>
    </row>
    <row r="86" spans="1:16" s="106" customFormat="1" ht="48.75" customHeight="1">
      <c r="A86" s="5">
        <v>2</v>
      </c>
      <c r="B86" s="5">
        <v>8</v>
      </c>
      <c r="C86" s="5">
        <v>7</v>
      </c>
      <c r="D86" s="6" t="s">
        <v>14</v>
      </c>
      <c r="E86" s="5"/>
      <c r="F86" s="7" t="s">
        <v>13</v>
      </c>
      <c r="G86" s="45">
        <f>G87</f>
        <v>48520000</v>
      </c>
      <c r="H86" s="9">
        <f>+G86/$G$119*100%</f>
        <v>3.6367875920902434E-3</v>
      </c>
      <c r="I86" s="8">
        <f>Mei!M86</f>
        <v>0</v>
      </c>
      <c r="J86" s="11">
        <f>Mei!N86</f>
        <v>0</v>
      </c>
      <c r="K86" s="45">
        <f>K87</f>
        <v>0</v>
      </c>
      <c r="L86" s="108">
        <f>K86/G86*100</f>
        <v>0</v>
      </c>
      <c r="M86" s="8">
        <f>I86+K86</f>
        <v>0</v>
      </c>
      <c r="N86" s="12">
        <f>M86/G86*100</f>
        <v>0</v>
      </c>
      <c r="O86" s="13"/>
      <c r="P86" s="8">
        <f>G86-M86</f>
        <v>48520000</v>
      </c>
    </row>
    <row r="87" spans="1:16" s="3" customFormat="1" ht="40.5" customHeight="1">
      <c r="A87" s="214">
        <v>2</v>
      </c>
      <c r="B87" s="214">
        <v>8</v>
      </c>
      <c r="C87" s="214">
        <v>7</v>
      </c>
      <c r="D87" s="215" t="s">
        <v>14</v>
      </c>
      <c r="E87" s="214">
        <v>8</v>
      </c>
      <c r="F87" s="218" t="s">
        <v>126</v>
      </c>
      <c r="G87" s="217">
        <v>48520000</v>
      </c>
      <c r="H87" s="18">
        <f>+G87/$G$119*100%</f>
        <v>3.6367875920902434E-3</v>
      </c>
      <c r="I87" s="21">
        <f>Mei!M87</f>
        <v>0</v>
      </c>
      <c r="J87" s="190">
        <f>Mei!N87</f>
        <v>0</v>
      </c>
      <c r="K87" s="21">
        <v>0</v>
      </c>
      <c r="L87" s="20">
        <f>K87/G87*100</f>
        <v>0</v>
      </c>
      <c r="M87" s="30">
        <f>I87+K87</f>
        <v>0</v>
      </c>
      <c r="N87" s="29">
        <f>M87/G87*100</f>
        <v>0</v>
      </c>
      <c r="O87" s="22"/>
      <c r="P87" s="21">
        <f>G87-M87</f>
        <v>48520000</v>
      </c>
    </row>
    <row r="88" spans="1:16" s="146" customFormat="1" ht="35.25" customHeight="1">
      <c r="A88" s="130"/>
      <c r="B88" s="130"/>
      <c r="C88" s="130"/>
      <c r="D88" s="131"/>
      <c r="E88" s="130"/>
      <c r="F88" s="140" t="s">
        <v>106</v>
      </c>
      <c r="G88" s="144">
        <f>G89+G95+G98</f>
        <v>619715450</v>
      </c>
      <c r="H88" s="132"/>
      <c r="I88" s="138">
        <f>Mei!M88</f>
        <v>0</v>
      </c>
      <c r="J88" s="134">
        <f>Mei!N88</f>
        <v>0</v>
      </c>
      <c r="K88" s="136"/>
      <c r="L88" s="135"/>
      <c r="M88" s="138"/>
      <c r="N88" s="139"/>
      <c r="O88" s="143"/>
      <c r="P88" s="136"/>
    </row>
    <row r="89" spans="1:16" s="49" customFormat="1" ht="31.5" customHeight="1">
      <c r="A89" s="36">
        <v>2</v>
      </c>
      <c r="B89" s="36">
        <v>14</v>
      </c>
      <c r="C89" s="36">
        <v>2</v>
      </c>
      <c r="D89" s="37"/>
      <c r="E89" s="36"/>
      <c r="F89" s="38" t="s">
        <v>12</v>
      </c>
      <c r="G89" s="46">
        <f>G90+G93</f>
        <v>87702450</v>
      </c>
      <c r="H89" s="40">
        <f>+G89/$G$119*100%</f>
        <v>6.5736847064285855E-3</v>
      </c>
      <c r="I89" s="39">
        <f>Mei!M89</f>
        <v>0</v>
      </c>
      <c r="J89" s="42">
        <f>Mei!N89</f>
        <v>0</v>
      </c>
      <c r="K89" s="46">
        <f>K90</f>
        <v>0</v>
      </c>
      <c r="L89" s="109">
        <f>K89/G89*100</f>
        <v>0</v>
      </c>
      <c r="M89" s="39">
        <f>I89+K89</f>
        <v>0</v>
      </c>
      <c r="N89" s="43">
        <f>M89/G89*100</f>
        <v>0</v>
      </c>
      <c r="O89" s="44"/>
      <c r="P89" s="39">
        <f t="shared" ref="P89:P103" si="25">G89-M89</f>
        <v>87702450</v>
      </c>
    </row>
    <row r="90" spans="1:16" s="106" customFormat="1" ht="40.5" customHeight="1">
      <c r="A90" s="5">
        <v>2</v>
      </c>
      <c r="B90" s="5">
        <v>14</v>
      </c>
      <c r="C90" s="5">
        <v>2</v>
      </c>
      <c r="D90" s="6" t="s">
        <v>8</v>
      </c>
      <c r="E90" s="5"/>
      <c r="F90" s="7" t="s">
        <v>11</v>
      </c>
      <c r="G90" s="45">
        <f>G91+G92</f>
        <v>77032450</v>
      </c>
      <c r="H90" s="9">
        <f>+G90/$G$119*100%</f>
        <v>5.773921235538171E-3</v>
      </c>
      <c r="I90" s="8">
        <f>Mei!M90</f>
        <v>0</v>
      </c>
      <c r="J90" s="11">
        <f>Mei!N90</f>
        <v>0</v>
      </c>
      <c r="K90" s="45">
        <f>K91</f>
        <v>0</v>
      </c>
      <c r="L90" s="108">
        <f>K90/G90*100</f>
        <v>0</v>
      </c>
      <c r="M90" s="8">
        <f>I90+K90</f>
        <v>0</v>
      </c>
      <c r="N90" s="12">
        <f>M90/G90*100</f>
        <v>0</v>
      </c>
      <c r="O90" s="13"/>
      <c r="P90" s="8">
        <f t="shared" si="25"/>
        <v>77032450</v>
      </c>
    </row>
    <row r="91" spans="1:16" s="3" customFormat="1" ht="25.5" customHeight="1">
      <c r="A91" s="214">
        <v>2</v>
      </c>
      <c r="B91" s="214">
        <v>14</v>
      </c>
      <c r="C91" s="214">
        <v>2</v>
      </c>
      <c r="D91" s="215" t="s">
        <v>8</v>
      </c>
      <c r="E91" s="214">
        <v>3</v>
      </c>
      <c r="F91" s="216" t="s">
        <v>89</v>
      </c>
      <c r="G91" s="217">
        <v>30736450</v>
      </c>
      <c r="H91" s="18">
        <f>+G91/$G$119*100%</f>
        <v>2.3038322338190882E-3</v>
      </c>
      <c r="I91" s="21">
        <f>Mei!M91</f>
        <v>0</v>
      </c>
      <c r="J91" s="190">
        <f>Mei!N91</f>
        <v>0</v>
      </c>
      <c r="K91" s="21">
        <v>0</v>
      </c>
      <c r="L91" s="20">
        <f>K91/G91*100</f>
        <v>0</v>
      </c>
      <c r="M91" s="30">
        <f>I91+K91</f>
        <v>0</v>
      </c>
      <c r="N91" s="29">
        <f>M91/G91*100</f>
        <v>0</v>
      </c>
      <c r="O91" s="22"/>
      <c r="P91" s="21">
        <f t="shared" si="25"/>
        <v>30736450</v>
      </c>
    </row>
    <row r="92" spans="1:16" s="3" customFormat="1" ht="47.25" customHeight="1">
      <c r="A92" s="214">
        <v>2</v>
      </c>
      <c r="B92" s="214">
        <v>14</v>
      </c>
      <c r="C92" s="214">
        <v>2</v>
      </c>
      <c r="D92" s="215" t="s">
        <v>8</v>
      </c>
      <c r="E92" s="214">
        <v>7</v>
      </c>
      <c r="F92" s="216" t="s">
        <v>154</v>
      </c>
      <c r="G92" s="217">
        <v>46296000</v>
      </c>
      <c r="H92" s="18">
        <f>+G92/$G$119*100%</f>
        <v>3.4700890017190828E-3</v>
      </c>
      <c r="I92" s="21">
        <f>Mei!M92</f>
        <v>0</v>
      </c>
      <c r="J92" s="190">
        <f>Mei!N92</f>
        <v>0</v>
      </c>
      <c r="K92" s="21"/>
      <c r="L92" s="20"/>
      <c r="M92" s="30"/>
      <c r="N92" s="29"/>
      <c r="O92" s="22"/>
      <c r="P92" s="21">
        <f t="shared" si="25"/>
        <v>46296000</v>
      </c>
    </row>
    <row r="93" spans="1:16" s="3" customFormat="1" ht="27" customHeight="1">
      <c r="A93" s="5">
        <v>2</v>
      </c>
      <c r="B93" s="5">
        <v>14</v>
      </c>
      <c r="C93" s="5">
        <v>2</v>
      </c>
      <c r="D93" s="6" t="s">
        <v>7</v>
      </c>
      <c r="E93" s="5"/>
      <c r="F93" s="7" t="s">
        <v>156</v>
      </c>
      <c r="G93" s="45">
        <f>G94</f>
        <v>10670000</v>
      </c>
      <c r="H93" s="9">
        <f t="shared" ref="H93:H103" si="26">+G93/$G$119*100%</f>
        <v>7.9976347089041422E-4</v>
      </c>
      <c r="I93" s="8">
        <f>Mei!M93</f>
        <v>0</v>
      </c>
      <c r="J93" s="11">
        <f>Mei!N93</f>
        <v>0</v>
      </c>
      <c r="K93" s="45">
        <f>K94</f>
        <v>0</v>
      </c>
      <c r="L93" s="108">
        <f>K93/G93*100</f>
        <v>0</v>
      </c>
      <c r="M93" s="8">
        <f>I93+K93</f>
        <v>0</v>
      </c>
      <c r="N93" s="12">
        <f>M93/G93*100</f>
        <v>0</v>
      </c>
      <c r="O93" s="13"/>
      <c r="P93" s="8">
        <f t="shared" si="25"/>
        <v>10670000</v>
      </c>
    </row>
    <row r="94" spans="1:16" s="3" customFormat="1" ht="29.25" customHeight="1">
      <c r="A94" s="214">
        <v>2</v>
      </c>
      <c r="B94" s="214">
        <v>14</v>
      </c>
      <c r="C94" s="214">
        <v>2</v>
      </c>
      <c r="D94" s="215" t="s">
        <v>7</v>
      </c>
      <c r="E94" s="214">
        <v>2</v>
      </c>
      <c r="F94" s="216" t="s">
        <v>155</v>
      </c>
      <c r="G94" s="217">
        <v>10670000</v>
      </c>
      <c r="H94" s="18">
        <f t="shared" si="26"/>
        <v>7.9976347089041422E-4</v>
      </c>
      <c r="I94" s="21">
        <f>Mei!M94</f>
        <v>0</v>
      </c>
      <c r="J94" s="190">
        <f>Mei!N94</f>
        <v>0</v>
      </c>
      <c r="K94" s="21">
        <v>0</v>
      </c>
      <c r="L94" s="20">
        <f>K94/G94*100</f>
        <v>0</v>
      </c>
      <c r="M94" s="30">
        <f>I94+K94</f>
        <v>0</v>
      </c>
      <c r="N94" s="29">
        <f>M94/G94*100</f>
        <v>0</v>
      </c>
      <c r="O94" s="22"/>
      <c r="P94" s="21">
        <f t="shared" si="25"/>
        <v>10670000</v>
      </c>
    </row>
    <row r="95" spans="1:16" s="49" customFormat="1" ht="26.25" customHeight="1">
      <c r="A95" s="36">
        <v>2</v>
      </c>
      <c r="B95" s="36">
        <v>14</v>
      </c>
      <c r="C95" s="36">
        <v>3</v>
      </c>
      <c r="D95" s="37"/>
      <c r="E95" s="36"/>
      <c r="F95" s="38" t="s">
        <v>10</v>
      </c>
      <c r="G95" s="46">
        <f>G96</f>
        <v>17599000</v>
      </c>
      <c r="H95" s="40">
        <f t="shared" si="26"/>
        <v>1.319122523355239E-3</v>
      </c>
      <c r="I95" s="39">
        <f>Mei!M95</f>
        <v>0</v>
      </c>
      <c r="J95" s="42">
        <f>Mei!N95</f>
        <v>0</v>
      </c>
      <c r="K95" s="46">
        <f>K96</f>
        <v>0</v>
      </c>
      <c r="L95" s="109">
        <f t="shared" ref="L95:L103" si="27">K95/G95*100</f>
        <v>0</v>
      </c>
      <c r="M95" s="39">
        <f t="shared" ref="M95:M103" si="28">I95+K95</f>
        <v>0</v>
      </c>
      <c r="N95" s="43">
        <f t="shared" ref="N95:N103" si="29">M95/G95*100</f>
        <v>0</v>
      </c>
      <c r="O95" s="44"/>
      <c r="P95" s="39">
        <f t="shared" si="25"/>
        <v>17599000</v>
      </c>
    </row>
    <row r="96" spans="1:16" s="106" customFormat="1" ht="42.75" customHeight="1">
      <c r="A96" s="5">
        <v>2</v>
      </c>
      <c r="B96" s="5">
        <v>14</v>
      </c>
      <c r="C96" s="5">
        <v>3</v>
      </c>
      <c r="D96" s="6" t="s">
        <v>7</v>
      </c>
      <c r="E96" s="5"/>
      <c r="F96" s="167" t="s">
        <v>128</v>
      </c>
      <c r="G96" s="45">
        <f>G97</f>
        <v>17599000</v>
      </c>
      <c r="H96" s="9">
        <f t="shared" si="26"/>
        <v>1.319122523355239E-3</v>
      </c>
      <c r="I96" s="8">
        <f>Mei!M96</f>
        <v>0</v>
      </c>
      <c r="J96" s="11">
        <f>Mei!N96</f>
        <v>0</v>
      </c>
      <c r="K96" s="45">
        <f>K97</f>
        <v>0</v>
      </c>
      <c r="L96" s="108">
        <f t="shared" si="27"/>
        <v>0</v>
      </c>
      <c r="M96" s="8">
        <f t="shared" si="28"/>
        <v>0</v>
      </c>
      <c r="N96" s="12">
        <f t="shared" si="29"/>
        <v>0</v>
      </c>
      <c r="O96" s="13"/>
      <c r="P96" s="8">
        <f t="shared" si="25"/>
        <v>17599000</v>
      </c>
    </row>
    <row r="97" spans="1:16" s="3" customFormat="1" ht="38.25" customHeight="1">
      <c r="A97" s="214">
        <v>2</v>
      </c>
      <c r="B97" s="214">
        <v>14</v>
      </c>
      <c r="C97" s="214">
        <v>3</v>
      </c>
      <c r="D97" s="215" t="s">
        <v>7</v>
      </c>
      <c r="E97" s="214">
        <v>2</v>
      </c>
      <c r="F97" s="218" t="s">
        <v>157</v>
      </c>
      <c r="G97" s="217">
        <v>17599000</v>
      </c>
      <c r="H97" s="18">
        <f t="shared" si="26"/>
        <v>1.319122523355239E-3</v>
      </c>
      <c r="I97" s="21">
        <f>Mei!M97</f>
        <v>0</v>
      </c>
      <c r="J97" s="190">
        <f>Mei!N97</f>
        <v>0</v>
      </c>
      <c r="K97" s="21">
        <v>0</v>
      </c>
      <c r="L97" s="20">
        <f t="shared" si="27"/>
        <v>0</v>
      </c>
      <c r="M97" s="30">
        <f t="shared" si="28"/>
        <v>0</v>
      </c>
      <c r="N97" s="29">
        <f t="shared" si="29"/>
        <v>0</v>
      </c>
      <c r="O97" s="22"/>
      <c r="P97" s="21">
        <f t="shared" si="25"/>
        <v>17599000</v>
      </c>
    </row>
    <row r="98" spans="1:16" s="49" customFormat="1" ht="26.25" customHeight="1">
      <c r="A98" s="36">
        <v>2</v>
      </c>
      <c r="B98" s="36">
        <v>14</v>
      </c>
      <c r="C98" s="36">
        <v>4</v>
      </c>
      <c r="D98" s="37"/>
      <c r="E98" s="36"/>
      <c r="F98" s="38" t="s">
        <v>9</v>
      </c>
      <c r="G98" s="46">
        <f>G99+G102</f>
        <v>514414000</v>
      </c>
      <c r="H98" s="40">
        <f t="shared" si="26"/>
        <v>3.8557593825175401E-2</v>
      </c>
      <c r="I98" s="39">
        <f>Mei!M98</f>
        <v>0</v>
      </c>
      <c r="J98" s="42">
        <f>Mei!N98</f>
        <v>0</v>
      </c>
      <c r="K98" s="46">
        <f>K99+K102</f>
        <v>0</v>
      </c>
      <c r="L98" s="109">
        <f t="shared" si="27"/>
        <v>0</v>
      </c>
      <c r="M98" s="39">
        <f t="shared" si="28"/>
        <v>0</v>
      </c>
      <c r="N98" s="43">
        <f t="shared" si="29"/>
        <v>0</v>
      </c>
      <c r="O98" s="48"/>
      <c r="P98" s="39">
        <f t="shared" si="25"/>
        <v>514414000</v>
      </c>
    </row>
    <row r="99" spans="1:16" s="106" customFormat="1" ht="40.5" customHeight="1">
      <c r="A99" s="5">
        <v>2</v>
      </c>
      <c r="B99" s="5">
        <v>14</v>
      </c>
      <c r="C99" s="5">
        <v>4</v>
      </c>
      <c r="D99" s="6" t="s">
        <v>8</v>
      </c>
      <c r="E99" s="5"/>
      <c r="F99" s="7" t="s">
        <v>90</v>
      </c>
      <c r="G99" s="45">
        <f>G100+G101</f>
        <v>514414000</v>
      </c>
      <c r="H99" s="9">
        <f t="shared" si="26"/>
        <v>3.8557593825175401E-2</v>
      </c>
      <c r="I99" s="8">
        <f>Mei!M99</f>
        <v>0</v>
      </c>
      <c r="J99" s="11">
        <f>Mei!N99</f>
        <v>0</v>
      </c>
      <c r="K99" s="45">
        <f>K100</f>
        <v>0</v>
      </c>
      <c r="L99" s="108">
        <f t="shared" si="27"/>
        <v>0</v>
      </c>
      <c r="M99" s="8">
        <f t="shared" si="28"/>
        <v>0</v>
      </c>
      <c r="N99" s="12">
        <f t="shared" si="29"/>
        <v>0</v>
      </c>
      <c r="O99" s="27"/>
      <c r="P99" s="8">
        <f t="shared" si="25"/>
        <v>514414000</v>
      </c>
    </row>
    <row r="100" spans="1:16" s="3" customFormat="1" ht="35.25" customHeight="1">
      <c r="A100" s="214">
        <v>2</v>
      </c>
      <c r="B100" s="214">
        <v>14</v>
      </c>
      <c r="C100" s="214">
        <v>4</v>
      </c>
      <c r="D100" s="215" t="s">
        <v>8</v>
      </c>
      <c r="E100" s="214">
        <v>17</v>
      </c>
      <c r="F100" s="218" t="s">
        <v>129</v>
      </c>
      <c r="G100" s="217">
        <v>290000000</v>
      </c>
      <c r="H100" s="18">
        <f t="shared" si="26"/>
        <v>2.1736776622138718E-2</v>
      </c>
      <c r="I100" s="21">
        <f>Mei!M100</f>
        <v>0</v>
      </c>
      <c r="J100" s="190">
        <f>Mei!N100</f>
        <v>0</v>
      </c>
      <c r="K100" s="21">
        <v>0</v>
      </c>
      <c r="L100" s="20">
        <f t="shared" si="27"/>
        <v>0</v>
      </c>
      <c r="M100" s="30">
        <f t="shared" si="28"/>
        <v>0</v>
      </c>
      <c r="N100" s="29">
        <f t="shared" si="29"/>
        <v>0</v>
      </c>
      <c r="O100" s="23"/>
      <c r="P100" s="21">
        <f t="shared" si="25"/>
        <v>290000000</v>
      </c>
    </row>
    <row r="101" spans="1:16" s="3" customFormat="1" ht="28.5" customHeight="1">
      <c r="A101" s="214">
        <v>2</v>
      </c>
      <c r="B101" s="214">
        <v>14</v>
      </c>
      <c r="C101" s="214">
        <v>4</v>
      </c>
      <c r="D101" s="215" t="s">
        <v>8</v>
      </c>
      <c r="E101" s="214">
        <v>19</v>
      </c>
      <c r="F101" s="218" t="s">
        <v>158</v>
      </c>
      <c r="G101" s="217">
        <v>224414000</v>
      </c>
      <c r="H101" s="18">
        <f t="shared" si="26"/>
        <v>1.6820817203036683E-2</v>
      </c>
      <c r="I101" s="21">
        <f>Mei!M101</f>
        <v>0</v>
      </c>
      <c r="J101" s="190">
        <f>Mei!N101</f>
        <v>0</v>
      </c>
      <c r="K101" s="21"/>
      <c r="L101" s="20"/>
      <c r="M101" s="30"/>
      <c r="N101" s="29"/>
      <c r="O101" s="23"/>
      <c r="P101" s="21"/>
    </row>
    <row r="102" spans="1:16" s="106" customFormat="1" ht="47.25" customHeight="1">
      <c r="A102" s="5">
        <v>2</v>
      </c>
      <c r="B102" s="5">
        <v>14</v>
      </c>
      <c r="C102" s="5">
        <v>4</v>
      </c>
      <c r="D102" s="6" t="s">
        <v>7</v>
      </c>
      <c r="E102" s="5"/>
      <c r="F102" s="7" t="s">
        <v>6</v>
      </c>
      <c r="G102" s="26">
        <f>G103</f>
        <v>0</v>
      </c>
      <c r="H102" s="9">
        <f t="shared" si="26"/>
        <v>0</v>
      </c>
      <c r="I102" s="8">
        <f>Mei!M102</f>
        <v>0</v>
      </c>
      <c r="J102" s="11">
        <f>Mei!N102</f>
        <v>0</v>
      </c>
      <c r="K102" s="26">
        <f>K103</f>
        <v>0</v>
      </c>
      <c r="L102" s="108" t="e">
        <f t="shared" si="27"/>
        <v>#DIV/0!</v>
      </c>
      <c r="M102" s="8">
        <f t="shared" si="28"/>
        <v>0</v>
      </c>
      <c r="N102" s="12" t="e">
        <f t="shared" si="29"/>
        <v>#DIV/0!</v>
      </c>
      <c r="O102" s="27"/>
      <c r="P102" s="8">
        <f t="shared" si="25"/>
        <v>0</v>
      </c>
    </row>
    <row r="103" spans="1:16" s="3" customFormat="1" ht="60.75" customHeight="1">
      <c r="A103" s="214">
        <v>2</v>
      </c>
      <c r="B103" s="214">
        <v>14</v>
      </c>
      <c r="C103" s="214">
        <v>4</v>
      </c>
      <c r="D103" s="215" t="s">
        <v>7</v>
      </c>
      <c r="E103" s="214">
        <v>8</v>
      </c>
      <c r="F103" s="218" t="s">
        <v>130</v>
      </c>
      <c r="G103" s="219">
        <v>0</v>
      </c>
      <c r="H103" s="18">
        <f t="shared" si="26"/>
        <v>0</v>
      </c>
      <c r="I103" s="21">
        <f>Mei!M103</f>
        <v>0</v>
      </c>
      <c r="J103" s="190">
        <f>Mei!N103</f>
        <v>0</v>
      </c>
      <c r="K103" s="21">
        <v>0</v>
      </c>
      <c r="L103" s="20" t="e">
        <f t="shared" si="27"/>
        <v>#DIV/0!</v>
      </c>
      <c r="M103" s="30">
        <f t="shared" si="28"/>
        <v>0</v>
      </c>
      <c r="N103" s="20" t="e">
        <f t="shared" si="29"/>
        <v>#DIV/0!</v>
      </c>
      <c r="O103" s="23"/>
      <c r="P103" s="21">
        <f t="shared" si="25"/>
        <v>0</v>
      </c>
    </row>
    <row r="104" spans="1:16" s="3" customFormat="1" ht="31.5" customHeight="1">
      <c r="A104" s="130"/>
      <c r="B104" s="130"/>
      <c r="C104" s="130"/>
      <c r="D104" s="131"/>
      <c r="E104" s="130"/>
      <c r="F104" s="141" t="s">
        <v>101</v>
      </c>
      <c r="G104" s="142">
        <f>G105+G113+G116</f>
        <v>2677601700</v>
      </c>
      <c r="H104" s="132"/>
      <c r="I104" s="138">
        <f>Mei!M104</f>
        <v>0</v>
      </c>
      <c r="J104" s="134">
        <f>Mei!N104</f>
        <v>0</v>
      </c>
      <c r="K104" s="136"/>
      <c r="L104" s="135"/>
      <c r="M104" s="138"/>
      <c r="N104" s="139"/>
      <c r="O104" s="137"/>
      <c r="P104" s="136"/>
    </row>
    <row r="105" spans="1:16" s="49" customFormat="1" ht="27.75" customHeight="1">
      <c r="A105" s="36">
        <v>2</v>
      </c>
      <c r="B105" s="36">
        <v>8</v>
      </c>
      <c r="C105" s="36">
        <v>1</v>
      </c>
      <c r="D105" s="37"/>
      <c r="E105" s="36"/>
      <c r="F105" s="38" t="s">
        <v>5</v>
      </c>
      <c r="G105" s="46">
        <f>G106+G110</f>
        <v>317209700</v>
      </c>
      <c r="H105" s="40">
        <f>+G105/$G$119*100%</f>
        <v>2.3776263418191848E-2</v>
      </c>
      <c r="I105" s="39">
        <f>Mei!M105</f>
        <v>120643071</v>
      </c>
      <c r="J105" s="42">
        <f>Mei!N105</f>
        <v>38.032592004595067</v>
      </c>
      <c r="K105" s="46">
        <f>K106+K110</f>
        <v>29090679</v>
      </c>
      <c r="L105" s="43">
        <f>K105/G105*100</f>
        <v>9.1708037301507499</v>
      </c>
      <c r="M105" s="39">
        <f>I105+K105</f>
        <v>149733750</v>
      </c>
      <c r="N105" s="43">
        <f>M105/G105*100</f>
        <v>47.203395734745818</v>
      </c>
      <c r="O105" s="44"/>
      <c r="P105" s="39">
        <f t="shared" ref="P105:P118" si="30">G105-M105</f>
        <v>167475950</v>
      </c>
    </row>
    <row r="106" spans="1:16" s="106" customFormat="1" ht="27.75" customHeight="1">
      <c r="A106" s="5">
        <v>2</v>
      </c>
      <c r="B106" s="5">
        <v>8</v>
      </c>
      <c r="C106" s="5">
        <v>1</v>
      </c>
      <c r="D106" s="6" t="s">
        <v>24</v>
      </c>
      <c r="E106" s="5"/>
      <c r="F106" s="7" t="s">
        <v>4</v>
      </c>
      <c r="G106" s="45">
        <f>SUM(G107:G109)</f>
        <v>11797700</v>
      </c>
      <c r="H106" s="9">
        <f>+G106/$G$119*100%</f>
        <v>8.8428955018967563E-4</v>
      </c>
      <c r="I106" s="8">
        <f>Mei!M106</f>
        <v>661600</v>
      </c>
      <c r="J106" s="11">
        <f>Mei!N106</f>
        <v>5.6078727209540844</v>
      </c>
      <c r="K106" s="45">
        <f>K108+K109</f>
        <v>520500</v>
      </c>
      <c r="L106" s="12">
        <f>K106/G106*100</f>
        <v>4.4118768912584656</v>
      </c>
      <c r="M106" s="8">
        <f>I106+K106</f>
        <v>1182100</v>
      </c>
      <c r="N106" s="12">
        <f>M106/G106*100</f>
        <v>10.01974961221255</v>
      </c>
      <c r="O106" s="27"/>
      <c r="P106" s="8">
        <f t="shared" si="30"/>
        <v>10615600</v>
      </c>
    </row>
    <row r="107" spans="1:16" s="106" customFormat="1" ht="27.75" customHeight="1">
      <c r="A107" s="14">
        <v>2</v>
      </c>
      <c r="B107" s="14">
        <v>8</v>
      </c>
      <c r="C107" s="14">
        <v>1</v>
      </c>
      <c r="D107" s="15" t="s">
        <v>24</v>
      </c>
      <c r="E107" s="14">
        <v>1</v>
      </c>
      <c r="F107" s="16" t="s">
        <v>60</v>
      </c>
      <c r="G107" s="17">
        <v>1706000</v>
      </c>
      <c r="H107" s="18">
        <f>+G107/$G$119*100%</f>
        <v>1.2787221005989191E-4</v>
      </c>
      <c r="I107" s="21">
        <f>Mei!M107</f>
        <v>0</v>
      </c>
      <c r="J107" s="190">
        <f>Mei!N107</f>
        <v>0</v>
      </c>
      <c r="K107" s="21">
        <v>0</v>
      </c>
      <c r="L107" s="20">
        <f>K107/G107*100</f>
        <v>0</v>
      </c>
      <c r="M107" s="30">
        <f>I107+K107</f>
        <v>0</v>
      </c>
      <c r="N107" s="29">
        <f>M107/G107*100</f>
        <v>0</v>
      </c>
      <c r="O107" s="23"/>
      <c r="P107" s="21">
        <f t="shared" si="30"/>
        <v>1706000</v>
      </c>
    </row>
    <row r="108" spans="1:16" s="3" customFormat="1" ht="27.75" customHeight="1">
      <c r="A108" s="14">
        <v>2</v>
      </c>
      <c r="B108" s="14">
        <v>8</v>
      </c>
      <c r="C108" s="14">
        <v>1</v>
      </c>
      <c r="D108" s="15" t="s">
        <v>24</v>
      </c>
      <c r="E108" s="14">
        <v>2</v>
      </c>
      <c r="F108" s="16" t="s">
        <v>61</v>
      </c>
      <c r="G108" s="17">
        <v>8794500</v>
      </c>
      <c r="H108" s="18">
        <f>+G108/$G$119*100%</f>
        <v>6.5918648966689294E-4</v>
      </c>
      <c r="I108" s="21">
        <f>Mei!M108</f>
        <v>358000</v>
      </c>
      <c r="J108" s="190">
        <f>Mei!N108</f>
        <v>4.0707260219455348</v>
      </c>
      <c r="K108" s="21">
        <f>43500+95000+226000+156000</f>
        <v>520500</v>
      </c>
      <c r="L108" s="20">
        <f>K108/G108*100</f>
        <v>5.9184717721303084</v>
      </c>
      <c r="M108" s="21">
        <f>I108+K108</f>
        <v>878500</v>
      </c>
      <c r="N108" s="20">
        <f>M108/G108*100</f>
        <v>9.9891977940758423</v>
      </c>
      <c r="O108" s="23"/>
      <c r="P108" s="21">
        <f t="shared" si="30"/>
        <v>7916000</v>
      </c>
    </row>
    <row r="109" spans="1:16" s="3" customFormat="1" ht="27.75" customHeight="1">
      <c r="A109" s="14">
        <v>2</v>
      </c>
      <c r="B109" s="14">
        <v>8</v>
      </c>
      <c r="C109" s="14">
        <v>1</v>
      </c>
      <c r="D109" s="15" t="s">
        <v>24</v>
      </c>
      <c r="E109" s="14">
        <v>5</v>
      </c>
      <c r="F109" s="16" t="s">
        <v>62</v>
      </c>
      <c r="G109" s="17">
        <v>1297200</v>
      </c>
      <c r="H109" s="18">
        <f>+G109/$G$119*100%</f>
        <v>9.7230850462890842E-5</v>
      </c>
      <c r="I109" s="21">
        <f>Mei!M109</f>
        <v>303600</v>
      </c>
      <c r="J109" s="190">
        <f>Mei!N109</f>
        <v>23.404255319148938</v>
      </c>
      <c r="K109" s="21"/>
      <c r="L109" s="20">
        <f>K109/G109*100</f>
        <v>0</v>
      </c>
      <c r="M109" s="21">
        <f>I109+K109</f>
        <v>303600</v>
      </c>
      <c r="N109" s="20">
        <f>M109/G109*100</f>
        <v>23.404255319148938</v>
      </c>
      <c r="O109" s="23"/>
      <c r="P109" s="21">
        <f>G109-M109</f>
        <v>993600</v>
      </c>
    </row>
    <row r="110" spans="1:16" s="106" customFormat="1" ht="27.75" customHeight="1">
      <c r="A110" s="5">
        <v>2</v>
      </c>
      <c r="B110" s="5">
        <v>8</v>
      </c>
      <c r="C110" s="5">
        <v>1</v>
      </c>
      <c r="D110" s="6" t="s">
        <v>23</v>
      </c>
      <c r="E110" s="5"/>
      <c r="F110" s="7" t="s">
        <v>3</v>
      </c>
      <c r="G110" s="45">
        <f>G111+G112</f>
        <v>305412000</v>
      </c>
      <c r="H110" s="9">
        <f t="shared" ref="H110:H119" si="31">+G110/$G$119*100%</f>
        <v>2.2891973868002173E-2</v>
      </c>
      <c r="I110" s="8">
        <f>Mei!M110</f>
        <v>119981471</v>
      </c>
      <c r="J110" s="11">
        <f>Mei!N110</f>
        <v>39.285120100061555</v>
      </c>
      <c r="K110" s="45">
        <f>K111+K112</f>
        <v>28570179</v>
      </c>
      <c r="L110" s="12">
        <f t="shared" ref="L110:L119" si="32">K110/G110*100</f>
        <v>9.3546353777847635</v>
      </c>
      <c r="M110" s="8">
        <f t="shared" ref="M110:M118" si="33">I110+K110</f>
        <v>148551650</v>
      </c>
      <c r="N110" s="12">
        <f t="shared" ref="N110:N119" si="34">M110/G110*100</f>
        <v>48.639755477846322</v>
      </c>
      <c r="O110" s="13"/>
      <c r="P110" s="8">
        <f t="shared" si="30"/>
        <v>156860350</v>
      </c>
    </row>
    <row r="111" spans="1:16" s="3" customFormat="1" ht="27.75" customHeight="1">
      <c r="A111" s="14">
        <v>2</v>
      </c>
      <c r="B111" s="14">
        <v>8</v>
      </c>
      <c r="C111" s="14">
        <v>1</v>
      </c>
      <c r="D111" s="15" t="s">
        <v>23</v>
      </c>
      <c r="E111" s="14">
        <v>2</v>
      </c>
      <c r="F111" s="16" t="s">
        <v>87</v>
      </c>
      <c r="G111" s="17">
        <v>22020000</v>
      </c>
      <c r="H111" s="18">
        <f t="shared" si="31"/>
        <v>1.6504959352396365E-3</v>
      </c>
      <c r="I111" s="21">
        <f>Mei!M111</f>
        <v>2373971</v>
      </c>
      <c r="J111" s="190">
        <f>Mei!N111</f>
        <v>10.78097638510445</v>
      </c>
      <c r="K111" s="24">
        <f>84988+469300+622298+344880+683516+437500+469300+82600+720560+464787+668950</f>
        <v>5048679</v>
      </c>
      <c r="L111" s="20">
        <f t="shared" si="32"/>
        <v>22.927697547683923</v>
      </c>
      <c r="M111" s="21">
        <f t="shared" si="33"/>
        <v>7422650</v>
      </c>
      <c r="N111" s="20">
        <f t="shared" si="34"/>
        <v>33.708673932788372</v>
      </c>
      <c r="O111" s="22"/>
      <c r="P111" s="21">
        <f t="shared" si="30"/>
        <v>14597350</v>
      </c>
    </row>
    <row r="112" spans="1:16" s="3" customFormat="1" ht="27.75" customHeight="1">
      <c r="A112" s="14">
        <v>2</v>
      </c>
      <c r="B112" s="14">
        <v>8</v>
      </c>
      <c r="C112" s="14">
        <v>1</v>
      </c>
      <c r="D112" s="15" t="s">
        <v>23</v>
      </c>
      <c r="E112" s="14">
        <v>4</v>
      </c>
      <c r="F112" s="16" t="s">
        <v>68</v>
      </c>
      <c r="G112" s="17">
        <v>283392000</v>
      </c>
      <c r="H112" s="18">
        <f t="shared" si="31"/>
        <v>2.1241477932762536E-2</v>
      </c>
      <c r="I112" s="21">
        <f>Mei!M112</f>
        <v>117607500</v>
      </c>
      <c r="J112" s="190">
        <f>Mei!N112</f>
        <v>41.499936483739837</v>
      </c>
      <c r="K112" s="21">
        <f>23400000+121500</f>
        <v>23521500</v>
      </c>
      <c r="L112" s="20">
        <f t="shared" si="32"/>
        <v>8.2999872967479664</v>
      </c>
      <c r="M112" s="21">
        <f t="shared" si="33"/>
        <v>141129000</v>
      </c>
      <c r="N112" s="20">
        <f t="shared" si="34"/>
        <v>49.799923780487802</v>
      </c>
      <c r="O112" s="22"/>
      <c r="P112" s="21">
        <f t="shared" si="30"/>
        <v>142263000</v>
      </c>
    </row>
    <row r="113" spans="1:16" s="49" customFormat="1" ht="27.75" customHeight="1">
      <c r="A113" s="36">
        <v>2</v>
      </c>
      <c r="B113" s="36">
        <v>8</v>
      </c>
      <c r="C113" s="36">
        <v>3</v>
      </c>
      <c r="D113" s="37"/>
      <c r="E113" s="36"/>
      <c r="F113" s="38" t="s">
        <v>91</v>
      </c>
      <c r="G113" s="46">
        <f>G114</f>
        <v>2177844000</v>
      </c>
      <c r="H113" s="40">
        <f t="shared" si="31"/>
        <v>0.16323899498574163</v>
      </c>
      <c r="I113" s="39">
        <f>Mei!M113</f>
        <v>13623856</v>
      </c>
      <c r="J113" s="42">
        <f>Mei!N113</f>
        <v>0.62556620217058712</v>
      </c>
      <c r="K113" s="46">
        <f>K114</f>
        <v>2403000</v>
      </c>
      <c r="L113" s="43">
        <f t="shared" si="32"/>
        <v>0.11033848154413264</v>
      </c>
      <c r="M113" s="39">
        <f t="shared" si="33"/>
        <v>16026856</v>
      </c>
      <c r="N113" s="43">
        <f t="shared" si="34"/>
        <v>0.73590468371471973</v>
      </c>
      <c r="O113" s="44"/>
      <c r="P113" s="39">
        <f t="shared" si="30"/>
        <v>2161817144</v>
      </c>
    </row>
    <row r="114" spans="1:16" s="106" customFormat="1" ht="40.5" customHeight="1">
      <c r="A114" s="5">
        <v>2</v>
      </c>
      <c r="B114" s="5">
        <v>8</v>
      </c>
      <c r="C114" s="5">
        <v>3</v>
      </c>
      <c r="D114" s="6" t="s">
        <v>7</v>
      </c>
      <c r="E114" s="5"/>
      <c r="F114" s="7" t="s">
        <v>47</v>
      </c>
      <c r="G114" s="45">
        <f>G115</f>
        <v>2177844000</v>
      </c>
      <c r="H114" s="9">
        <f t="shared" si="31"/>
        <v>0.16323899498574163</v>
      </c>
      <c r="I114" s="8">
        <f>Mei!M114</f>
        <v>13623856</v>
      </c>
      <c r="J114" s="11">
        <f>Mei!N114</f>
        <v>0.62556620217058712</v>
      </c>
      <c r="K114" s="45">
        <f>K115</f>
        <v>2403000</v>
      </c>
      <c r="L114" s="12">
        <f t="shared" si="32"/>
        <v>0.11033848154413264</v>
      </c>
      <c r="M114" s="8">
        <f t="shared" si="33"/>
        <v>16026856</v>
      </c>
      <c r="N114" s="12">
        <f t="shared" si="34"/>
        <v>0.73590468371471973</v>
      </c>
      <c r="O114" s="13"/>
      <c r="P114" s="8">
        <f t="shared" si="30"/>
        <v>2161817144</v>
      </c>
    </row>
    <row r="115" spans="1:16" s="3" customFormat="1" ht="36" customHeight="1">
      <c r="A115" s="14">
        <v>2</v>
      </c>
      <c r="B115" s="14">
        <v>8</v>
      </c>
      <c r="C115" s="14">
        <v>3</v>
      </c>
      <c r="D115" s="15" t="s">
        <v>7</v>
      </c>
      <c r="E115" s="14">
        <v>2</v>
      </c>
      <c r="F115" s="16" t="s">
        <v>74</v>
      </c>
      <c r="G115" s="17">
        <v>2177844000</v>
      </c>
      <c r="H115" s="18">
        <f t="shared" si="31"/>
        <v>0.16323899498574163</v>
      </c>
      <c r="I115" s="21">
        <f>Mei!M115</f>
        <v>13623856</v>
      </c>
      <c r="J115" s="190">
        <f>Mei!N115</f>
        <v>0.62556620217058712</v>
      </c>
      <c r="K115" s="21">
        <f>135000+45000+66000+44000+44000+44000+300000+1125000+375000+225000</f>
        <v>2403000</v>
      </c>
      <c r="L115" s="20">
        <f t="shared" si="32"/>
        <v>0.11033848154413264</v>
      </c>
      <c r="M115" s="21">
        <f t="shared" si="33"/>
        <v>16026856</v>
      </c>
      <c r="N115" s="20">
        <f t="shared" si="34"/>
        <v>0.73590468371471973</v>
      </c>
      <c r="O115" s="22"/>
      <c r="P115" s="21">
        <f t="shared" si="30"/>
        <v>2161817144</v>
      </c>
    </row>
    <row r="116" spans="1:16" s="49" customFormat="1" ht="26.25" customHeight="1">
      <c r="A116" s="36">
        <v>2</v>
      </c>
      <c r="B116" s="36">
        <v>8</v>
      </c>
      <c r="C116" s="36">
        <v>7</v>
      </c>
      <c r="D116" s="37"/>
      <c r="E116" s="36"/>
      <c r="F116" s="38" t="s">
        <v>92</v>
      </c>
      <c r="G116" s="46">
        <f>G117</f>
        <v>182548000</v>
      </c>
      <c r="H116" s="40">
        <f t="shared" si="31"/>
        <v>1.3682776202821306E-2</v>
      </c>
      <c r="I116" s="39">
        <f>Mei!M116</f>
        <v>8832000</v>
      </c>
      <c r="J116" s="42">
        <f>Mei!N116</f>
        <v>4.8381795472971492</v>
      </c>
      <c r="K116" s="46">
        <f>K117</f>
        <v>2850000</v>
      </c>
      <c r="L116" s="43">
        <f t="shared" si="32"/>
        <v>1.5612332098954795</v>
      </c>
      <c r="M116" s="39">
        <f t="shared" si="33"/>
        <v>11682000</v>
      </c>
      <c r="N116" s="43">
        <f t="shared" si="34"/>
        <v>6.3994127571926285</v>
      </c>
      <c r="O116" s="44"/>
      <c r="P116" s="39">
        <f t="shared" si="30"/>
        <v>170866000</v>
      </c>
    </row>
    <row r="117" spans="1:16" s="106" customFormat="1" ht="40.5" customHeight="1">
      <c r="A117" s="5">
        <v>2</v>
      </c>
      <c r="B117" s="5">
        <v>8</v>
      </c>
      <c r="C117" s="5">
        <v>7</v>
      </c>
      <c r="D117" s="6" t="s">
        <v>7</v>
      </c>
      <c r="E117" s="5"/>
      <c r="F117" s="7" t="s">
        <v>1</v>
      </c>
      <c r="G117" s="45">
        <f>G118</f>
        <v>182548000</v>
      </c>
      <c r="H117" s="9">
        <f t="shared" si="31"/>
        <v>1.3682776202821306E-2</v>
      </c>
      <c r="I117" s="8">
        <f>Mei!M117</f>
        <v>8832000</v>
      </c>
      <c r="J117" s="11">
        <f>Mei!N117</f>
        <v>4.8381795472971492</v>
      </c>
      <c r="K117" s="45">
        <f>K118</f>
        <v>2850000</v>
      </c>
      <c r="L117" s="12">
        <f t="shared" si="32"/>
        <v>1.5612332098954795</v>
      </c>
      <c r="M117" s="8">
        <f t="shared" si="33"/>
        <v>11682000</v>
      </c>
      <c r="N117" s="12">
        <f t="shared" si="34"/>
        <v>6.3994127571926285</v>
      </c>
      <c r="O117" s="13"/>
      <c r="P117" s="8">
        <f t="shared" si="30"/>
        <v>170866000</v>
      </c>
    </row>
    <row r="118" spans="1:16" s="3" customFormat="1" ht="30" customHeight="1">
      <c r="A118" s="14">
        <v>2</v>
      </c>
      <c r="B118" s="14">
        <v>8</v>
      </c>
      <c r="C118" s="14">
        <v>7</v>
      </c>
      <c r="D118" s="15" t="s">
        <v>7</v>
      </c>
      <c r="E118" s="14">
        <v>7</v>
      </c>
      <c r="F118" s="166" t="s">
        <v>127</v>
      </c>
      <c r="G118" s="17">
        <v>182548000</v>
      </c>
      <c r="H118" s="18">
        <f t="shared" si="31"/>
        <v>1.3682776202821306E-2</v>
      </c>
      <c r="I118" s="21">
        <f>Mei!M118</f>
        <v>8832000</v>
      </c>
      <c r="J118" s="190">
        <f>Mei!N118</f>
        <v>4.8381795472971492</v>
      </c>
      <c r="K118" s="21">
        <f>900000+1350000+315000+105000+135000+45000</f>
        <v>2850000</v>
      </c>
      <c r="L118" s="20">
        <f t="shared" si="32"/>
        <v>1.5612332098954795</v>
      </c>
      <c r="M118" s="21">
        <f t="shared" si="33"/>
        <v>11682000</v>
      </c>
      <c r="N118" s="20">
        <f t="shared" si="34"/>
        <v>6.3994127571926285</v>
      </c>
      <c r="O118" s="22"/>
      <c r="P118" s="21">
        <f t="shared" si="30"/>
        <v>170866000</v>
      </c>
    </row>
    <row r="119" spans="1:16" s="58" customFormat="1" ht="22.5" customHeight="1">
      <c r="A119" s="50"/>
      <c r="B119" s="50"/>
      <c r="C119" s="50"/>
      <c r="D119" s="51"/>
      <c r="E119" s="52"/>
      <c r="F119" s="53" t="s">
        <v>48</v>
      </c>
      <c r="G119" s="54">
        <f>G16+G55+G61+G67+G72+G76+G83+G89+G95+G98+G105+G113+G116</f>
        <v>13341444550</v>
      </c>
      <c r="H119" s="114">
        <f t="shared" si="31"/>
        <v>1</v>
      </c>
      <c r="I119" s="116">
        <f>Mei!M119</f>
        <v>2928236112</v>
      </c>
      <c r="J119" s="55">
        <f>Mei!N119</f>
        <v>19.638491525078692</v>
      </c>
      <c r="K119" s="54">
        <f>K16+K55+K61+K67+K72+K76+K83+K89+K95+K98+K105+K113+K116</f>
        <v>1377131256</v>
      </c>
      <c r="L119" s="56">
        <f t="shared" si="32"/>
        <v>10.322204996909425</v>
      </c>
      <c r="M119" s="54">
        <f>M16+M55+M61+M67+M72+M76+M83+M89+M95+M98+M105+M113+M116</f>
        <v>4305367368</v>
      </c>
      <c r="N119" s="56">
        <f t="shared" si="34"/>
        <v>32.270623708434933</v>
      </c>
      <c r="O119" s="57"/>
      <c r="P119" s="116">
        <f>G119-M119</f>
        <v>9036077182</v>
      </c>
    </row>
    <row r="120" spans="1:16" s="4" customFormat="1" ht="18" customHeight="1">
      <c r="A120" s="118"/>
      <c r="B120" s="118"/>
      <c r="C120" s="118"/>
      <c r="D120" s="119"/>
      <c r="E120" s="120"/>
      <c r="F120" s="33" t="s">
        <v>95</v>
      </c>
      <c r="G120" s="128">
        <f>G16</f>
        <v>8620443300</v>
      </c>
      <c r="H120" s="122"/>
      <c r="I120" s="121"/>
      <c r="J120" s="123"/>
      <c r="K120" s="121" t="s">
        <v>202</v>
      </c>
      <c r="L120" s="124"/>
      <c r="M120" s="126"/>
      <c r="N120" s="124"/>
      <c r="O120" s="125"/>
      <c r="P120" s="126"/>
    </row>
    <row r="121" spans="1:16" s="4" customFormat="1" ht="15.75" customHeight="1">
      <c r="A121" s="118"/>
      <c r="B121" s="118"/>
      <c r="C121" s="118"/>
      <c r="D121" s="119"/>
      <c r="E121" s="120"/>
      <c r="F121" s="33" t="s">
        <v>96</v>
      </c>
      <c r="G121" s="128">
        <f>G76</f>
        <v>171883200</v>
      </c>
      <c r="H121" s="187"/>
      <c r="I121" s="188"/>
      <c r="J121" s="189"/>
      <c r="K121" s="121"/>
      <c r="L121" s="124"/>
      <c r="M121" s="126"/>
      <c r="N121" s="124"/>
      <c r="O121" s="125"/>
      <c r="P121" s="126"/>
    </row>
    <row r="122" spans="1:16" s="3" customFormat="1">
      <c r="A122" s="77"/>
      <c r="B122" s="78"/>
      <c r="C122" s="78"/>
      <c r="D122" s="31"/>
      <c r="E122" s="32"/>
      <c r="F122" s="127" t="s">
        <v>97</v>
      </c>
      <c r="G122" s="128">
        <f>G83</f>
        <v>664592900</v>
      </c>
      <c r="H122" s="208" t="s">
        <v>133</v>
      </c>
      <c r="I122" s="207">
        <f>K119-I123</f>
        <v>1223887819</v>
      </c>
      <c r="J122" s="174"/>
      <c r="K122" s="80"/>
      <c r="L122" s="80"/>
      <c r="M122" s="244" t="s">
        <v>193</v>
      </c>
      <c r="N122" s="244"/>
      <c r="O122" s="244"/>
      <c r="P122" s="80"/>
    </row>
    <row r="123" spans="1:16" s="3" customFormat="1" ht="17.25" customHeight="1">
      <c r="A123" s="32"/>
      <c r="B123" s="82"/>
      <c r="C123" s="78"/>
      <c r="D123" s="83"/>
      <c r="E123" s="80"/>
      <c r="F123" s="178" t="s">
        <v>98</v>
      </c>
      <c r="G123" s="155">
        <f>G61</f>
        <v>145888000</v>
      </c>
      <c r="H123" s="209" t="s">
        <v>198</v>
      </c>
      <c r="I123" s="207">
        <v>153243437</v>
      </c>
      <c r="J123" s="174"/>
      <c r="K123" s="80"/>
      <c r="L123" s="80"/>
      <c r="M123" s="250" t="s">
        <v>139</v>
      </c>
      <c r="N123" s="250"/>
      <c r="O123" s="250"/>
      <c r="P123" s="85" t="s">
        <v>0</v>
      </c>
    </row>
    <row r="124" spans="1:16" s="3" customFormat="1" ht="18" customHeight="1">
      <c r="A124" s="32"/>
      <c r="B124" s="82"/>
      <c r="C124" s="78"/>
      <c r="D124" s="83"/>
      <c r="E124" s="32"/>
      <c r="F124" s="179" t="s">
        <v>99</v>
      </c>
      <c r="G124" s="154">
        <f>G54</f>
        <v>441320000</v>
      </c>
      <c r="H124" s="176"/>
      <c r="I124" s="227"/>
      <c r="J124" s="174"/>
      <c r="K124" s="80"/>
      <c r="L124" s="80"/>
      <c r="M124" s="251"/>
      <c r="N124" s="251"/>
      <c r="O124" s="251"/>
      <c r="P124" s="87"/>
    </row>
    <row r="125" spans="1:16" s="3" customFormat="1">
      <c r="A125" s="1"/>
      <c r="B125" s="88"/>
      <c r="C125" s="89"/>
      <c r="D125" s="90"/>
      <c r="E125" s="220"/>
      <c r="F125" s="221" t="s">
        <v>100</v>
      </c>
      <c r="G125" s="222">
        <f>G89+G95+G98</f>
        <v>619715450</v>
      </c>
      <c r="H125" s="91"/>
      <c r="I125" s="1"/>
      <c r="M125" s="246"/>
      <c r="N125" s="246"/>
      <c r="O125" s="246"/>
    </row>
    <row r="126" spans="1:16" s="3" customFormat="1">
      <c r="A126" s="1"/>
      <c r="B126" s="88"/>
      <c r="C126" s="89"/>
      <c r="D126" s="90"/>
      <c r="E126" s="220"/>
      <c r="F126" s="221" t="s">
        <v>101</v>
      </c>
      <c r="G126" s="223">
        <f>G105+G113+G116</f>
        <v>2677601700</v>
      </c>
      <c r="H126" s="91"/>
      <c r="I126" s="226"/>
      <c r="M126" s="245" t="s">
        <v>194</v>
      </c>
      <c r="N126" s="245"/>
      <c r="O126" s="245"/>
    </row>
    <row r="127" spans="1:16" s="3" customFormat="1" ht="15" customHeight="1">
      <c r="A127" s="1"/>
      <c r="B127" s="88"/>
      <c r="C127" s="89"/>
      <c r="D127" s="90"/>
      <c r="E127" s="220"/>
      <c r="F127" s="224" t="s">
        <v>102</v>
      </c>
      <c r="G127" s="225">
        <f>SUM(G120:G126)</f>
        <v>13341444550</v>
      </c>
      <c r="H127" s="91"/>
      <c r="I127" s="1"/>
      <c r="M127" s="242" t="s">
        <v>196</v>
      </c>
      <c r="N127" s="242"/>
      <c r="O127" s="242"/>
    </row>
    <row r="128" spans="1:16" s="3" customFormat="1" ht="15" customHeight="1">
      <c r="A128" s="1" t="s">
        <v>0</v>
      </c>
      <c r="B128" s="88"/>
      <c r="C128" s="89"/>
      <c r="D128" s="90"/>
      <c r="E128" s="220"/>
      <c r="F128" s="220"/>
      <c r="G128" s="225"/>
      <c r="H128" s="91"/>
      <c r="M128" s="242" t="s">
        <v>195</v>
      </c>
      <c r="N128" s="242"/>
      <c r="O128" s="242"/>
    </row>
    <row r="129" spans="1:8">
      <c r="A129" s="93"/>
      <c r="B129" s="94"/>
      <c r="C129" s="95"/>
      <c r="D129" s="96"/>
      <c r="E129" s="93"/>
      <c r="F129" s="93"/>
      <c r="G129" s="159"/>
      <c r="H129" s="98"/>
    </row>
    <row r="130" spans="1:8">
      <c r="A130" s="93"/>
      <c r="B130" s="94"/>
      <c r="C130" s="95"/>
      <c r="D130" s="96"/>
      <c r="E130" s="93"/>
      <c r="F130" s="93"/>
      <c r="G130" s="97"/>
      <c r="H130" s="98"/>
    </row>
    <row r="131" spans="1:8">
      <c r="A131" s="93"/>
      <c r="B131" s="94"/>
      <c r="C131" s="95"/>
      <c r="D131" s="96"/>
      <c r="E131" s="93"/>
      <c r="F131" s="93"/>
      <c r="G131" s="97"/>
      <c r="H131" s="98"/>
    </row>
  </sheetData>
  <mergeCells count="33">
    <mergeCell ref="M128:O128"/>
    <mergeCell ref="M122:O122"/>
    <mergeCell ref="M124:O124"/>
    <mergeCell ref="M125:O125"/>
    <mergeCell ref="M126:O126"/>
    <mergeCell ref="M127:O127"/>
    <mergeCell ref="M123:O12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1.2" right="0.7" top="0.75" bottom="0.75" header="0.3" footer="0.3"/>
  <pageSetup paperSize="5" scale="70" orientation="landscape" horizontalDpi="4294967292" verticalDpi="4294967295" r:id="rId1"/>
  <rowBreaks count="1" manualBreakCount="1">
    <brk id="130" max="17" man="1"/>
  </rowBreaks>
</worksheet>
</file>

<file path=xl/worksheets/sheet7.xml><?xml version="1.0" encoding="utf-8"?>
<worksheet xmlns="http://schemas.openxmlformats.org/spreadsheetml/2006/main" xmlns:r="http://schemas.openxmlformats.org/officeDocument/2006/relationships">
  <dimension ref="A1:R131"/>
  <sheetViews>
    <sheetView showGridLines="0" view="pageBreakPreview" topLeftCell="E32" zoomScaleNormal="100" zoomScaleSheetLayoutView="100" workbookViewId="0">
      <selection activeCell="K17" sqref="K17"/>
    </sheetView>
  </sheetViews>
  <sheetFormatPr defaultColWidth="9.140625" defaultRowHeight="15"/>
  <cols>
    <col min="1" max="1" width="2.85546875" style="99" customWidth="1"/>
    <col min="2" max="3" width="2.85546875" style="100" customWidth="1"/>
    <col min="4" max="4" width="4.42578125" style="101" customWidth="1"/>
    <col min="5" max="5" width="3.7109375" style="99" customWidth="1"/>
    <col min="6" max="6" width="68.140625" style="99" customWidth="1"/>
    <col min="7" max="7" width="17.28515625" style="102" customWidth="1"/>
    <col min="8" max="8" width="8.28515625" style="63" customWidth="1"/>
    <col min="9" max="9" width="14" style="64" customWidth="1"/>
    <col min="10" max="10" width="7.7109375" style="64" customWidth="1"/>
    <col min="11" max="11" width="15" style="64" customWidth="1"/>
    <col min="12" max="12" width="8.140625" style="64" customWidth="1"/>
    <col min="13" max="13" width="14.28515625" style="64" customWidth="1"/>
    <col min="14" max="14" width="7.42578125" style="64" customWidth="1"/>
    <col min="15" max="15" width="7.85546875" style="64" customWidth="1"/>
    <col min="16" max="16" width="15.8554687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86</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60"/>
      <c r="B4" s="60"/>
      <c r="C4" s="60"/>
      <c r="D4" s="61"/>
      <c r="E4" s="60"/>
      <c r="F4" s="60"/>
      <c r="G4" s="62"/>
    </row>
    <row r="5" spans="1:17" ht="15" customHeight="1">
      <c r="A5" s="267" t="s">
        <v>113</v>
      </c>
      <c r="B5" s="257"/>
      <c r="C5" s="257"/>
      <c r="D5" s="257"/>
      <c r="E5" s="257"/>
      <c r="F5" s="65" t="s">
        <v>44</v>
      </c>
      <c r="G5" s="66"/>
      <c r="H5" s="66"/>
      <c r="I5" s="66"/>
      <c r="J5" s="66"/>
      <c r="K5" s="66"/>
      <c r="L5" s="66"/>
      <c r="M5" s="66"/>
      <c r="N5" s="66"/>
      <c r="O5" s="66"/>
      <c r="P5" s="66"/>
    </row>
    <row r="6" spans="1:17" ht="15" customHeight="1">
      <c r="A6" s="267" t="s">
        <v>112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30" t="s">
        <v>45</v>
      </c>
      <c r="G7" s="68"/>
      <c r="H7" s="69"/>
      <c r="I7" s="70"/>
      <c r="J7" s="70"/>
      <c r="K7" s="70"/>
      <c r="L7" s="70"/>
      <c r="M7" s="70"/>
      <c r="N7" s="70"/>
      <c r="O7" s="70"/>
      <c r="P7" s="70"/>
    </row>
    <row r="8" spans="1:17" ht="15" customHeight="1">
      <c r="A8" s="257" t="s">
        <v>40</v>
      </c>
      <c r="B8" s="257"/>
      <c r="C8" s="257"/>
      <c r="D8" s="257"/>
      <c r="E8" s="257"/>
      <c r="F8" s="230" t="s">
        <v>201</v>
      </c>
      <c r="G8" s="68"/>
      <c r="H8" s="69"/>
      <c r="I8" s="70"/>
      <c r="J8" s="70"/>
      <c r="K8" s="70"/>
      <c r="L8" s="70"/>
      <c r="M8" s="70"/>
      <c r="N8" s="70"/>
      <c r="O8" s="70"/>
      <c r="P8" s="70"/>
    </row>
    <row r="9" spans="1:17" ht="15" customHeight="1">
      <c r="A9" s="71"/>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135</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28" t="s">
        <v>30</v>
      </c>
      <c r="P12" s="252"/>
      <c r="Q12" s="74"/>
    </row>
    <row r="13" spans="1:17" ht="15" customHeight="1">
      <c r="A13" s="255"/>
      <c r="B13" s="255"/>
      <c r="C13" s="255"/>
      <c r="D13" s="255"/>
      <c r="E13" s="255"/>
      <c r="F13" s="263"/>
      <c r="G13" s="252"/>
      <c r="H13" s="256"/>
      <c r="I13" s="228" t="s">
        <v>29</v>
      </c>
      <c r="J13" s="228" t="s">
        <v>28</v>
      </c>
      <c r="K13" s="228" t="s">
        <v>29</v>
      </c>
      <c r="L13" s="228" t="s">
        <v>28</v>
      </c>
      <c r="M13" s="228" t="s">
        <v>29</v>
      </c>
      <c r="N13" s="228" t="s">
        <v>28</v>
      </c>
      <c r="O13" s="228" t="s">
        <v>28</v>
      </c>
      <c r="P13" s="252"/>
      <c r="Q13" s="74"/>
    </row>
    <row r="14" spans="1:17" s="75" customFormat="1" ht="15" customHeight="1">
      <c r="A14" s="247">
        <v>1</v>
      </c>
      <c r="B14" s="248"/>
      <c r="C14" s="248"/>
      <c r="D14" s="248"/>
      <c r="E14" s="249"/>
      <c r="F14" s="110">
        <v>2</v>
      </c>
      <c r="G14" s="111">
        <v>3</v>
      </c>
      <c r="H14" s="112">
        <v>4</v>
      </c>
      <c r="I14" s="113">
        <v>5</v>
      </c>
      <c r="J14" s="113">
        <v>6</v>
      </c>
      <c r="K14" s="113">
        <v>8</v>
      </c>
      <c r="L14" s="113">
        <v>9</v>
      </c>
      <c r="M14" s="113">
        <v>11</v>
      </c>
      <c r="N14" s="113">
        <v>12</v>
      </c>
      <c r="O14" s="113">
        <v>13</v>
      </c>
      <c r="P14" s="113">
        <v>14</v>
      </c>
    </row>
    <row r="15" spans="1:17" s="152" customFormat="1" ht="30" customHeight="1">
      <c r="A15" s="147"/>
      <c r="B15" s="148"/>
      <c r="C15" s="148"/>
      <c r="D15" s="148"/>
      <c r="E15" s="149"/>
      <c r="F15" s="140" t="s">
        <v>107</v>
      </c>
      <c r="G15" s="153">
        <f>G16</f>
        <v>8620443300</v>
      </c>
      <c r="H15" s="150"/>
      <c r="I15" s="151"/>
      <c r="J15" s="151"/>
      <c r="K15" s="151"/>
      <c r="L15" s="151"/>
      <c r="M15" s="151"/>
      <c r="N15" s="151"/>
      <c r="O15" s="151"/>
      <c r="P15" s="151"/>
    </row>
    <row r="16" spans="1:17" s="4" customFormat="1" ht="22.5" customHeight="1">
      <c r="A16" s="36">
        <v>2</v>
      </c>
      <c r="B16" s="36">
        <v>8</v>
      </c>
      <c r="C16" s="36">
        <v>1</v>
      </c>
      <c r="D16" s="37"/>
      <c r="E16" s="36"/>
      <c r="F16" s="38" t="s">
        <v>93</v>
      </c>
      <c r="G16" s="39">
        <f>G17+G25+G29+G33+G41+G45+G50</f>
        <v>8620443300</v>
      </c>
      <c r="H16" s="40">
        <f t="shared" ref="H16:H53" si="0">+G16/$G$119*100%</f>
        <v>0.64614017377900801</v>
      </c>
      <c r="I16" s="39">
        <f>Juni!M16</f>
        <v>4004059802</v>
      </c>
      <c r="J16" s="42">
        <f>Juni!N16</f>
        <v>46.448421069018572</v>
      </c>
      <c r="K16" s="39">
        <f>K17+K25+K29+K33+K41+K45+K50</f>
        <v>643362217</v>
      </c>
      <c r="L16" s="43">
        <f t="shared" ref="L16:L29" si="1">K16/G16*100</f>
        <v>7.4632149949875544</v>
      </c>
      <c r="M16" s="39">
        <f t="shared" ref="M16:M29" si="2">I16+K16</f>
        <v>4647422019</v>
      </c>
      <c r="N16" s="43">
        <f t="shared" ref="N16:N29" si="3">M16/G16*100</f>
        <v>53.911636064006132</v>
      </c>
      <c r="O16" s="44"/>
      <c r="P16" s="39">
        <f t="shared" ref="P16:P29" si="4">G16-M16</f>
        <v>3973021281</v>
      </c>
    </row>
    <row r="17" spans="1:18" s="106" customFormat="1" ht="22.5" customHeight="1">
      <c r="A17" s="5">
        <v>2</v>
      </c>
      <c r="B17" s="5">
        <v>8</v>
      </c>
      <c r="C17" s="5">
        <v>1</v>
      </c>
      <c r="D17" s="6" t="s">
        <v>8</v>
      </c>
      <c r="E17" s="5"/>
      <c r="F17" s="7" t="s">
        <v>27</v>
      </c>
      <c r="G17" s="45">
        <f>SUM(G18:G24)</f>
        <v>29295100</v>
      </c>
      <c r="H17" s="9">
        <f t="shared" si="0"/>
        <v>2.1957967062869515E-3</v>
      </c>
      <c r="I17" s="8">
        <f>Juni!M17</f>
        <v>19785700</v>
      </c>
      <c r="J17" s="11">
        <f>Juni!N17</f>
        <v>67.539281313257177</v>
      </c>
      <c r="K17" s="45">
        <f>SUM(K18:K24)</f>
        <v>0</v>
      </c>
      <c r="L17" s="12">
        <f t="shared" si="1"/>
        <v>0</v>
      </c>
      <c r="M17" s="8">
        <f t="shared" si="2"/>
        <v>19785700</v>
      </c>
      <c r="N17" s="12">
        <f t="shared" si="3"/>
        <v>67.539281313257177</v>
      </c>
      <c r="O17" s="13"/>
      <c r="P17" s="8">
        <f t="shared" si="4"/>
        <v>9509400</v>
      </c>
      <c r="R17" s="107"/>
    </row>
    <row r="18" spans="1:18" s="3" customFormat="1" ht="22.5" customHeight="1">
      <c r="A18" s="14">
        <v>2</v>
      </c>
      <c r="B18" s="14">
        <v>8</v>
      </c>
      <c r="C18" s="14">
        <v>1</v>
      </c>
      <c r="D18" s="15" t="s">
        <v>8</v>
      </c>
      <c r="E18" s="14">
        <v>1</v>
      </c>
      <c r="F18" s="16" t="s">
        <v>49</v>
      </c>
      <c r="G18" s="17">
        <v>7249700</v>
      </c>
      <c r="H18" s="18">
        <f t="shared" si="0"/>
        <v>5.4339692923282439E-4</v>
      </c>
      <c r="I18" s="21">
        <f>Juni!M18</f>
        <v>6399700</v>
      </c>
      <c r="J18" s="190">
        <f>Juni!N18</f>
        <v>88.27537691214809</v>
      </c>
      <c r="K18" s="21"/>
      <c r="L18" s="20">
        <f t="shared" si="1"/>
        <v>0</v>
      </c>
      <c r="M18" s="21">
        <f t="shared" si="2"/>
        <v>6399700</v>
      </c>
      <c r="N18" s="20">
        <f t="shared" si="3"/>
        <v>88.27537691214809</v>
      </c>
      <c r="O18" s="22"/>
      <c r="P18" s="21">
        <f t="shared" si="4"/>
        <v>850000</v>
      </c>
      <c r="R18" s="76"/>
    </row>
    <row r="19" spans="1:18" s="3" customFormat="1" ht="22.5" customHeight="1">
      <c r="A19" s="214">
        <v>2</v>
      </c>
      <c r="B19" s="214">
        <v>8</v>
      </c>
      <c r="C19" s="214">
        <v>1</v>
      </c>
      <c r="D19" s="215" t="s">
        <v>8</v>
      </c>
      <c r="E19" s="214">
        <v>2</v>
      </c>
      <c r="F19" s="216" t="s">
        <v>50</v>
      </c>
      <c r="G19" s="217">
        <v>2850400</v>
      </c>
      <c r="H19" s="18">
        <f t="shared" si="0"/>
        <v>2.1365002787498001E-4</v>
      </c>
      <c r="I19" s="21">
        <f>Juni!M19</f>
        <v>0</v>
      </c>
      <c r="J19" s="190">
        <f>Juni!N19</f>
        <v>0</v>
      </c>
      <c r="K19" s="21"/>
      <c r="L19" s="20">
        <f t="shared" si="1"/>
        <v>0</v>
      </c>
      <c r="M19" s="21">
        <f t="shared" si="2"/>
        <v>0</v>
      </c>
      <c r="N19" s="20">
        <f t="shared" si="3"/>
        <v>0</v>
      </c>
      <c r="O19" s="22"/>
      <c r="P19" s="21">
        <f t="shared" si="4"/>
        <v>2850400</v>
      </c>
      <c r="R19" s="76"/>
    </row>
    <row r="20" spans="1:18" s="3" customFormat="1" ht="22.5" customHeight="1">
      <c r="A20" s="214">
        <v>2</v>
      </c>
      <c r="B20" s="214">
        <v>8</v>
      </c>
      <c r="C20" s="214">
        <v>1</v>
      </c>
      <c r="D20" s="215" t="s">
        <v>8</v>
      </c>
      <c r="E20" s="214">
        <v>3</v>
      </c>
      <c r="F20" s="216" t="s">
        <v>51</v>
      </c>
      <c r="G20" s="217">
        <v>2800000</v>
      </c>
      <c r="H20" s="18">
        <f t="shared" si="0"/>
        <v>2.0987232600685657E-4</v>
      </c>
      <c r="I20" s="21">
        <f>Juni!M20</f>
        <v>0</v>
      </c>
      <c r="J20" s="190">
        <f>Juni!N20</f>
        <v>0</v>
      </c>
      <c r="K20" s="21"/>
      <c r="L20" s="20">
        <f t="shared" si="1"/>
        <v>0</v>
      </c>
      <c r="M20" s="21">
        <f t="shared" si="2"/>
        <v>0</v>
      </c>
      <c r="N20" s="20">
        <f t="shared" si="3"/>
        <v>0</v>
      </c>
      <c r="O20" s="22"/>
      <c r="P20" s="21">
        <f t="shared" si="4"/>
        <v>2800000</v>
      </c>
      <c r="R20" s="76"/>
    </row>
    <row r="21" spans="1:18" s="3" customFormat="1" ht="22.5" customHeight="1">
      <c r="A21" s="214">
        <v>2</v>
      </c>
      <c r="B21" s="214">
        <v>8</v>
      </c>
      <c r="C21" s="214">
        <v>1</v>
      </c>
      <c r="D21" s="215" t="s">
        <v>8</v>
      </c>
      <c r="E21" s="214">
        <v>4</v>
      </c>
      <c r="F21" s="216" t="s">
        <v>52</v>
      </c>
      <c r="G21" s="217">
        <v>1442000</v>
      </c>
      <c r="H21" s="18">
        <f t="shared" si="0"/>
        <v>1.0808424789353115E-4</v>
      </c>
      <c r="I21" s="21">
        <f>Juni!M21</f>
        <v>0</v>
      </c>
      <c r="J21" s="190">
        <f>Juni!N21</f>
        <v>0</v>
      </c>
      <c r="K21" s="21"/>
      <c r="L21" s="20">
        <f t="shared" si="1"/>
        <v>0</v>
      </c>
      <c r="M21" s="21">
        <f t="shared" si="2"/>
        <v>0</v>
      </c>
      <c r="N21" s="20">
        <f t="shared" si="3"/>
        <v>0</v>
      </c>
      <c r="O21" s="22"/>
      <c r="P21" s="21">
        <f t="shared" si="4"/>
        <v>1442000</v>
      </c>
      <c r="R21" s="76"/>
    </row>
    <row r="22" spans="1:18" s="3" customFormat="1" ht="22.5" customHeight="1">
      <c r="A22" s="214">
        <v>2</v>
      </c>
      <c r="B22" s="214">
        <v>8</v>
      </c>
      <c r="C22" s="214">
        <v>1</v>
      </c>
      <c r="D22" s="215" t="s">
        <v>8</v>
      </c>
      <c r="E22" s="214">
        <v>5</v>
      </c>
      <c r="F22" s="216" t="s">
        <v>53</v>
      </c>
      <c r="G22" s="217">
        <f>1567000</f>
        <v>1567000</v>
      </c>
      <c r="H22" s="18">
        <f t="shared" si="0"/>
        <v>1.1745354816169438E-4</v>
      </c>
      <c r="I22" s="21">
        <f>Juni!M22</f>
        <v>0</v>
      </c>
      <c r="J22" s="190">
        <f>Juni!N22</f>
        <v>0</v>
      </c>
      <c r="K22" s="21"/>
      <c r="L22" s="20">
        <f t="shared" si="1"/>
        <v>0</v>
      </c>
      <c r="M22" s="21">
        <f t="shared" si="2"/>
        <v>0</v>
      </c>
      <c r="N22" s="20">
        <f t="shared" si="3"/>
        <v>0</v>
      </c>
      <c r="O22" s="22"/>
      <c r="P22" s="21">
        <f t="shared" si="4"/>
        <v>1567000</v>
      </c>
      <c r="R22" s="76"/>
    </row>
    <row r="23" spans="1:18" s="3" customFormat="1" ht="31.5" customHeight="1">
      <c r="A23" s="14">
        <v>2</v>
      </c>
      <c r="B23" s="14">
        <v>8</v>
      </c>
      <c r="C23" s="14">
        <v>1</v>
      </c>
      <c r="D23" s="15" t="s">
        <v>8</v>
      </c>
      <c r="E23" s="14">
        <v>6</v>
      </c>
      <c r="F23" s="16" t="s">
        <v>54</v>
      </c>
      <c r="G23" s="17">
        <v>6851000</v>
      </c>
      <c r="H23" s="18">
        <f t="shared" si="0"/>
        <v>5.1351260909749091E-4</v>
      </c>
      <c r="I23" s="21">
        <f>Juni!M23</f>
        <v>6851000</v>
      </c>
      <c r="J23" s="190">
        <f>Juni!N23</f>
        <v>100</v>
      </c>
      <c r="K23" s="21"/>
      <c r="L23" s="20">
        <f t="shared" si="1"/>
        <v>0</v>
      </c>
      <c r="M23" s="21">
        <f t="shared" si="2"/>
        <v>6851000</v>
      </c>
      <c r="N23" s="20">
        <f t="shared" si="3"/>
        <v>100</v>
      </c>
      <c r="O23" s="22"/>
      <c r="P23" s="21">
        <f t="shared" si="4"/>
        <v>0</v>
      </c>
      <c r="R23" s="76"/>
    </row>
    <row r="24" spans="1:18" s="3" customFormat="1" ht="22.5" customHeight="1">
      <c r="A24" s="14">
        <v>2</v>
      </c>
      <c r="B24" s="14">
        <v>8</v>
      </c>
      <c r="C24" s="14">
        <v>1</v>
      </c>
      <c r="D24" s="15" t="s">
        <v>8</v>
      </c>
      <c r="E24" s="14">
        <v>7</v>
      </c>
      <c r="F24" s="16" t="s">
        <v>55</v>
      </c>
      <c r="G24" s="17">
        <v>6535000</v>
      </c>
      <c r="H24" s="18">
        <f t="shared" si="0"/>
        <v>4.8982701801957419E-4</v>
      </c>
      <c r="I24" s="21">
        <f>Juni!M24</f>
        <v>6535000</v>
      </c>
      <c r="J24" s="190">
        <f>Juni!N24</f>
        <v>100</v>
      </c>
      <c r="K24" s="21"/>
      <c r="L24" s="20">
        <f t="shared" si="1"/>
        <v>0</v>
      </c>
      <c r="M24" s="21">
        <f t="shared" si="2"/>
        <v>6535000</v>
      </c>
      <c r="N24" s="20">
        <f t="shared" si="3"/>
        <v>100</v>
      </c>
      <c r="O24" s="22"/>
      <c r="P24" s="21">
        <f t="shared" si="4"/>
        <v>0</v>
      </c>
      <c r="R24" s="76"/>
    </row>
    <row r="25" spans="1:18" s="106" customFormat="1" ht="22.5" customHeight="1">
      <c r="A25" s="5">
        <v>2</v>
      </c>
      <c r="B25" s="5">
        <v>8</v>
      </c>
      <c r="C25" s="5">
        <v>1</v>
      </c>
      <c r="D25" s="6" t="s">
        <v>7</v>
      </c>
      <c r="E25" s="5"/>
      <c r="F25" s="7" t="s">
        <v>26</v>
      </c>
      <c r="G25" s="45">
        <f>SUM(G26:G28)</f>
        <v>7291370573</v>
      </c>
      <c r="H25" s="9">
        <f t="shared" si="0"/>
        <v>0.54652032211909163</v>
      </c>
      <c r="I25" s="8">
        <f>Juni!M25</f>
        <v>3645597203</v>
      </c>
      <c r="J25" s="11">
        <f>Juni!N25</f>
        <v>49.998791948658791</v>
      </c>
      <c r="K25" s="45">
        <f>SUM(K26:K28)</f>
        <v>507443277</v>
      </c>
      <c r="L25" s="12">
        <f t="shared" si="1"/>
        <v>6.9595046900930573</v>
      </c>
      <c r="M25" s="8">
        <f t="shared" si="2"/>
        <v>4153040480</v>
      </c>
      <c r="N25" s="12">
        <f t="shared" si="3"/>
        <v>56.958296638751847</v>
      </c>
      <c r="O25" s="13"/>
      <c r="P25" s="8">
        <f t="shared" si="4"/>
        <v>3138330093</v>
      </c>
    </row>
    <row r="26" spans="1:18" s="3" customFormat="1" ht="22.5" customHeight="1">
      <c r="A26" s="214">
        <v>2</v>
      </c>
      <c r="B26" s="214">
        <v>8</v>
      </c>
      <c r="C26" s="214">
        <v>1</v>
      </c>
      <c r="D26" s="215" t="s">
        <v>7</v>
      </c>
      <c r="E26" s="214">
        <v>1</v>
      </c>
      <c r="F26" s="216" t="s">
        <v>56</v>
      </c>
      <c r="G26" s="217">
        <v>7232422573</v>
      </c>
      <c r="H26" s="18">
        <f t="shared" si="0"/>
        <v>0.54210191002143016</v>
      </c>
      <c r="I26" s="21">
        <f>Juni!M26</f>
        <v>3622393403</v>
      </c>
      <c r="J26" s="190">
        <f>Juni!N26</f>
        <v>50.085477811032206</v>
      </c>
      <c r="K26" s="21">
        <f>275404371+8344034+2450388+3271702+200146081+2512501</f>
        <v>492129077</v>
      </c>
      <c r="L26" s="20">
        <f t="shared" si="1"/>
        <v>6.8044845559385712</v>
      </c>
      <c r="M26" s="21">
        <f t="shared" si="2"/>
        <v>4114522480</v>
      </c>
      <c r="N26" s="20">
        <f t="shared" si="3"/>
        <v>56.889962366970778</v>
      </c>
      <c r="O26" s="22"/>
      <c r="P26" s="21">
        <f t="shared" si="4"/>
        <v>3117900093</v>
      </c>
    </row>
    <row r="27" spans="1:18" s="3" customFormat="1" ht="22.5" customHeight="1">
      <c r="A27" s="214">
        <v>2</v>
      </c>
      <c r="B27" s="214">
        <v>8</v>
      </c>
      <c r="C27" s="214">
        <v>1</v>
      </c>
      <c r="D27" s="215" t="s">
        <v>7</v>
      </c>
      <c r="E27" s="214">
        <v>2</v>
      </c>
      <c r="F27" s="216" t="s">
        <v>57</v>
      </c>
      <c r="G27" s="217">
        <v>52547000</v>
      </c>
      <c r="H27" s="18">
        <f t="shared" si="0"/>
        <v>3.9386289695293904E-3</v>
      </c>
      <c r="I27" s="21">
        <f>Juni!M27</f>
        <v>20452800</v>
      </c>
      <c r="J27" s="190">
        <f>Juni!N27</f>
        <v>38.922869050564259</v>
      </c>
      <c r="K27" s="21">
        <f>1090000+1936000+1498200+300000+625000+3900000+680000+1010000+625000</f>
        <v>11664200</v>
      </c>
      <c r="L27" s="20">
        <f t="shared" si="1"/>
        <v>22.197651626163246</v>
      </c>
      <c r="M27" s="21">
        <f t="shared" si="2"/>
        <v>32117000</v>
      </c>
      <c r="N27" s="20">
        <f t="shared" si="3"/>
        <v>61.120520676727494</v>
      </c>
      <c r="O27" s="22"/>
      <c r="P27" s="21">
        <f t="shared" si="4"/>
        <v>20430000</v>
      </c>
    </row>
    <row r="28" spans="1:18" s="3" customFormat="1" ht="22.5" customHeight="1">
      <c r="A28" s="14">
        <v>2</v>
      </c>
      <c r="B28" s="14">
        <v>8</v>
      </c>
      <c r="C28" s="14">
        <v>1</v>
      </c>
      <c r="D28" s="15" t="s">
        <v>7</v>
      </c>
      <c r="E28" s="14">
        <v>5</v>
      </c>
      <c r="F28" s="16" t="s">
        <v>58</v>
      </c>
      <c r="G28" s="17">
        <v>6401000</v>
      </c>
      <c r="H28" s="18">
        <f t="shared" si="0"/>
        <v>4.7978312813210319E-4</v>
      </c>
      <c r="I28" s="21">
        <f>Juni!M28</f>
        <v>2751000</v>
      </c>
      <c r="J28" s="190">
        <f>Juni!N28</f>
        <v>42.977659740665516</v>
      </c>
      <c r="K28" s="21">
        <f>1000000+250000+2400000</f>
        <v>3650000</v>
      </c>
      <c r="L28" s="20">
        <f t="shared" si="1"/>
        <v>57.022340259334484</v>
      </c>
      <c r="M28" s="21">
        <f t="shared" si="2"/>
        <v>6401000</v>
      </c>
      <c r="N28" s="20">
        <f t="shared" si="3"/>
        <v>100</v>
      </c>
      <c r="O28" s="22"/>
      <c r="P28" s="21">
        <f t="shared" si="4"/>
        <v>0</v>
      </c>
    </row>
    <row r="29" spans="1:18" s="35" customFormat="1" ht="22.5" customHeight="1">
      <c r="A29" s="5">
        <v>2</v>
      </c>
      <c r="B29" s="5">
        <v>8</v>
      </c>
      <c r="C29" s="5">
        <v>1</v>
      </c>
      <c r="D29" s="6" t="s">
        <v>14</v>
      </c>
      <c r="E29" s="5"/>
      <c r="F29" s="7" t="s">
        <v>25</v>
      </c>
      <c r="G29" s="45">
        <f>SUM(G30:G32)</f>
        <v>12840000</v>
      </c>
      <c r="H29" s="9">
        <f t="shared" si="0"/>
        <v>9.6241452354572802E-4</v>
      </c>
      <c r="I29" s="8">
        <f>Juni!M29</f>
        <v>4250000</v>
      </c>
      <c r="J29" s="11">
        <f>Juni!N29</f>
        <v>33.099688473520253</v>
      </c>
      <c r="K29" s="45">
        <f>K32</f>
        <v>1269900</v>
      </c>
      <c r="L29" s="12">
        <f t="shared" si="1"/>
        <v>9.8901869158878508</v>
      </c>
      <c r="M29" s="8">
        <f t="shared" si="2"/>
        <v>5519900</v>
      </c>
      <c r="N29" s="12">
        <f t="shared" si="3"/>
        <v>42.989875389408098</v>
      </c>
      <c r="O29" s="13"/>
      <c r="P29" s="8">
        <f t="shared" si="4"/>
        <v>7320100</v>
      </c>
    </row>
    <row r="30" spans="1:18" s="35" customFormat="1" ht="22.5" customHeight="1">
      <c r="A30" s="214">
        <v>2</v>
      </c>
      <c r="B30" s="214">
        <v>8</v>
      </c>
      <c r="C30" s="214">
        <v>1</v>
      </c>
      <c r="D30" s="215" t="s">
        <v>14</v>
      </c>
      <c r="E30" s="214">
        <v>1</v>
      </c>
      <c r="F30" s="218" t="s">
        <v>114</v>
      </c>
      <c r="G30" s="217">
        <v>567000</v>
      </c>
      <c r="H30" s="18">
        <f t="shared" si="0"/>
        <v>4.2499146016388455E-5</v>
      </c>
      <c r="I30" s="21">
        <f>Juni!M30</f>
        <v>0</v>
      </c>
      <c r="J30" s="190">
        <f>Juni!N30</f>
        <v>0</v>
      </c>
      <c r="K30" s="164"/>
      <c r="L30" s="20"/>
      <c r="M30" s="30"/>
      <c r="N30" s="29"/>
      <c r="O30" s="165"/>
      <c r="P30" s="30"/>
    </row>
    <row r="31" spans="1:18" s="35" customFormat="1" ht="22.5" customHeight="1">
      <c r="A31" s="14">
        <v>2</v>
      </c>
      <c r="B31" s="14">
        <v>8</v>
      </c>
      <c r="C31" s="14">
        <v>1</v>
      </c>
      <c r="D31" s="15" t="s">
        <v>14</v>
      </c>
      <c r="E31" s="14">
        <v>5</v>
      </c>
      <c r="F31" s="166" t="s">
        <v>115</v>
      </c>
      <c r="G31" s="17">
        <v>1100000</v>
      </c>
      <c r="H31" s="18">
        <f t="shared" si="0"/>
        <v>8.2449842359836516E-5</v>
      </c>
      <c r="I31" s="21">
        <f>Juni!M31</f>
        <v>0</v>
      </c>
      <c r="J31" s="190">
        <f>Juni!N31</f>
        <v>0</v>
      </c>
      <c r="K31" s="164"/>
      <c r="L31" s="20"/>
      <c r="M31" s="30"/>
      <c r="N31" s="29"/>
      <c r="O31" s="165"/>
      <c r="P31" s="30"/>
    </row>
    <row r="32" spans="1:18" s="3" customFormat="1" ht="22.5" customHeight="1">
      <c r="A32" s="214">
        <v>2</v>
      </c>
      <c r="B32" s="214">
        <v>8</v>
      </c>
      <c r="C32" s="214">
        <v>1</v>
      </c>
      <c r="D32" s="215" t="s">
        <v>14</v>
      </c>
      <c r="E32" s="214">
        <v>6</v>
      </c>
      <c r="F32" s="216" t="s">
        <v>59</v>
      </c>
      <c r="G32" s="217">
        <v>11173000</v>
      </c>
      <c r="H32" s="18">
        <f t="shared" si="0"/>
        <v>8.3746553516950302E-4</v>
      </c>
      <c r="I32" s="21">
        <f>Juni!M32</f>
        <v>4250000</v>
      </c>
      <c r="J32" s="190">
        <f>Juni!N32</f>
        <v>38.03812762910588</v>
      </c>
      <c r="K32" s="21">
        <f>200000+120000+99900+850000</f>
        <v>1269900</v>
      </c>
      <c r="L32" s="20">
        <f t="shared" ref="L32:L38" si="5">K32/G32*100</f>
        <v>11.365792535576837</v>
      </c>
      <c r="M32" s="21">
        <f t="shared" ref="M32:M38" si="6">I32+K32</f>
        <v>5519900</v>
      </c>
      <c r="N32" s="20">
        <f t="shared" ref="N32:N38" si="7">M32/G32*100</f>
        <v>49.403920164682717</v>
      </c>
      <c r="O32" s="22"/>
      <c r="P32" s="21">
        <f t="shared" ref="P32:P38" si="8">G32-M32</f>
        <v>5653100</v>
      </c>
    </row>
    <row r="33" spans="1:16" s="106" customFormat="1" ht="22.5" customHeight="1">
      <c r="A33" s="5">
        <v>2</v>
      </c>
      <c r="B33" s="5">
        <v>8</v>
      </c>
      <c r="C33" s="5">
        <v>1</v>
      </c>
      <c r="D33" s="6" t="s">
        <v>24</v>
      </c>
      <c r="E33" s="5"/>
      <c r="F33" s="7" t="s">
        <v>4</v>
      </c>
      <c r="G33" s="45">
        <f>SUM(G34:G40)</f>
        <v>646477250</v>
      </c>
      <c r="H33" s="9">
        <f t="shared" si="0"/>
        <v>4.8456315774291471E-2</v>
      </c>
      <c r="I33" s="8">
        <f>Juni!M33</f>
        <v>71781668</v>
      </c>
      <c r="J33" s="11">
        <f>Juni!N33</f>
        <v>11.103510293672359</v>
      </c>
      <c r="K33" s="45">
        <f>SUM(K34:K40)</f>
        <v>48087185</v>
      </c>
      <c r="L33" s="12">
        <f t="shared" si="5"/>
        <v>7.4383414110860056</v>
      </c>
      <c r="M33" s="8">
        <f>I33+K33</f>
        <v>119868853</v>
      </c>
      <c r="N33" s="12">
        <f t="shared" si="7"/>
        <v>18.541851704758365</v>
      </c>
      <c r="O33" s="13"/>
      <c r="P33" s="8">
        <f t="shared" si="8"/>
        <v>526608397</v>
      </c>
    </row>
    <row r="34" spans="1:16" s="3" customFormat="1" ht="22.5" customHeight="1">
      <c r="A34" s="214">
        <v>2</v>
      </c>
      <c r="B34" s="214">
        <v>8</v>
      </c>
      <c r="C34" s="214">
        <v>1</v>
      </c>
      <c r="D34" s="215" t="s">
        <v>24</v>
      </c>
      <c r="E34" s="214">
        <v>1</v>
      </c>
      <c r="F34" s="216" t="s">
        <v>60</v>
      </c>
      <c r="G34" s="217">
        <v>3122500</v>
      </c>
      <c r="H34" s="18">
        <f t="shared" si="0"/>
        <v>2.3404512069871773E-4</v>
      </c>
      <c r="I34" s="21">
        <f>Juni!M34</f>
        <v>2775500</v>
      </c>
      <c r="J34" s="190">
        <f>Juni!N34</f>
        <v>88.887109687750197</v>
      </c>
      <c r="K34" s="21"/>
      <c r="L34" s="20">
        <f t="shared" si="5"/>
        <v>0</v>
      </c>
      <c r="M34" s="21">
        <f t="shared" si="6"/>
        <v>2775500</v>
      </c>
      <c r="N34" s="20">
        <f t="shared" si="7"/>
        <v>88.887109687750197</v>
      </c>
      <c r="O34" s="22"/>
      <c r="P34" s="21">
        <f t="shared" si="8"/>
        <v>347000</v>
      </c>
    </row>
    <row r="35" spans="1:16" s="3" customFormat="1" ht="22.5" customHeight="1">
      <c r="A35" s="214">
        <v>2</v>
      </c>
      <c r="B35" s="214">
        <v>8</v>
      </c>
      <c r="C35" s="214">
        <v>1</v>
      </c>
      <c r="D35" s="215" t="s">
        <v>24</v>
      </c>
      <c r="E35" s="214">
        <v>2</v>
      </c>
      <c r="F35" s="216" t="s">
        <v>61</v>
      </c>
      <c r="G35" s="217">
        <v>44092200</v>
      </c>
      <c r="H35" s="18">
        <f t="shared" si="0"/>
        <v>3.3049044902712576E-3</v>
      </c>
      <c r="I35" s="21">
        <f>Juni!M35</f>
        <v>11187750</v>
      </c>
      <c r="J35" s="190">
        <f>Juni!N35</f>
        <v>25.37353545525059</v>
      </c>
      <c r="K35" s="21">
        <f>2262800+914850+432000+812900+840000+996000+984000+500000+500000+875000+875000+750000+960000+937815+592810</f>
        <v>13233175</v>
      </c>
      <c r="L35" s="20">
        <f t="shared" si="5"/>
        <v>30.012507881212553</v>
      </c>
      <c r="M35" s="21">
        <f t="shared" si="6"/>
        <v>24420925</v>
      </c>
      <c r="N35" s="20">
        <f t="shared" si="7"/>
        <v>55.386043336463139</v>
      </c>
      <c r="O35" s="22"/>
      <c r="P35" s="21">
        <f t="shared" si="8"/>
        <v>19671275</v>
      </c>
    </row>
    <row r="36" spans="1:16" s="3" customFormat="1" ht="22.5" customHeight="1">
      <c r="A36" s="214">
        <v>2</v>
      </c>
      <c r="B36" s="214">
        <v>8</v>
      </c>
      <c r="C36" s="214">
        <v>1</v>
      </c>
      <c r="D36" s="215" t="s">
        <v>24</v>
      </c>
      <c r="E36" s="214">
        <v>5</v>
      </c>
      <c r="F36" s="216" t="s">
        <v>62</v>
      </c>
      <c r="G36" s="217">
        <v>7650000</v>
      </c>
      <c r="H36" s="18">
        <f t="shared" si="0"/>
        <v>5.7340117641159027E-4</v>
      </c>
      <c r="I36" s="21">
        <f>Juni!M36</f>
        <v>1500000</v>
      </c>
      <c r="J36" s="190">
        <f>Juni!N36</f>
        <v>19.607843137254903</v>
      </c>
      <c r="K36" s="21">
        <f>499800+700000</f>
        <v>1199800</v>
      </c>
      <c r="L36" s="20">
        <f t="shared" si="5"/>
        <v>15.683660130718954</v>
      </c>
      <c r="M36" s="21">
        <f t="shared" si="6"/>
        <v>2699800</v>
      </c>
      <c r="N36" s="20">
        <f t="shared" si="7"/>
        <v>35.291503267973859</v>
      </c>
      <c r="O36" s="22"/>
      <c r="P36" s="21">
        <f t="shared" si="8"/>
        <v>4950200</v>
      </c>
    </row>
    <row r="37" spans="1:16" s="3" customFormat="1" ht="22.5" customHeight="1">
      <c r="A37" s="14">
        <v>2</v>
      </c>
      <c r="B37" s="14">
        <v>8</v>
      </c>
      <c r="C37" s="14">
        <v>1</v>
      </c>
      <c r="D37" s="15" t="s">
        <v>24</v>
      </c>
      <c r="E37" s="14">
        <v>6</v>
      </c>
      <c r="F37" s="16" t="s">
        <v>63</v>
      </c>
      <c r="G37" s="17">
        <v>12600000</v>
      </c>
      <c r="H37" s="18">
        <f t="shared" si="0"/>
        <v>9.4442546703085457E-4</v>
      </c>
      <c r="I37" s="21">
        <f>Juni!M37</f>
        <v>2250000</v>
      </c>
      <c r="J37" s="190">
        <f>Juni!N37</f>
        <v>17.857142857142858</v>
      </c>
      <c r="K37" s="21"/>
      <c r="L37" s="20">
        <f t="shared" si="5"/>
        <v>0</v>
      </c>
      <c r="M37" s="21">
        <f t="shared" si="6"/>
        <v>2250000</v>
      </c>
      <c r="N37" s="20">
        <f t="shared" si="7"/>
        <v>17.857142857142858</v>
      </c>
      <c r="O37" s="22"/>
      <c r="P37" s="21">
        <f t="shared" si="8"/>
        <v>10350000</v>
      </c>
    </row>
    <row r="38" spans="1:16" s="3" customFormat="1" ht="22.5" customHeight="1">
      <c r="A38" s="214">
        <v>2</v>
      </c>
      <c r="B38" s="214">
        <v>8</v>
      </c>
      <c r="C38" s="214">
        <v>1</v>
      </c>
      <c r="D38" s="215" t="s">
        <v>24</v>
      </c>
      <c r="E38" s="214">
        <v>8</v>
      </c>
      <c r="F38" s="218" t="s">
        <v>120</v>
      </c>
      <c r="G38" s="217">
        <f>5825000</f>
        <v>5825000</v>
      </c>
      <c r="H38" s="18">
        <f t="shared" si="0"/>
        <v>4.3660939249640698E-4</v>
      </c>
      <c r="I38" s="21">
        <f>Juni!M38</f>
        <v>2345000</v>
      </c>
      <c r="J38" s="190">
        <f>Juni!N38</f>
        <v>40.257510729613735</v>
      </c>
      <c r="K38" s="21">
        <f>250000+474810+156500+182580+107100</f>
        <v>1170990</v>
      </c>
      <c r="L38" s="20">
        <f t="shared" si="5"/>
        <v>20.102832618025751</v>
      </c>
      <c r="M38" s="21">
        <f t="shared" si="6"/>
        <v>3515990</v>
      </c>
      <c r="N38" s="20">
        <f t="shared" si="7"/>
        <v>60.360343347639486</v>
      </c>
      <c r="O38" s="22"/>
      <c r="P38" s="21">
        <f t="shared" si="8"/>
        <v>2309010</v>
      </c>
    </row>
    <row r="39" spans="1:16" s="3" customFormat="1" ht="22.5" customHeight="1">
      <c r="A39" s="214">
        <v>2</v>
      </c>
      <c r="B39" s="214">
        <v>8</v>
      </c>
      <c r="C39" s="214">
        <v>1</v>
      </c>
      <c r="D39" s="215" t="s">
        <v>24</v>
      </c>
      <c r="E39" s="214">
        <v>9</v>
      </c>
      <c r="F39" s="216" t="s">
        <v>64</v>
      </c>
      <c r="G39" s="217">
        <v>570225900</v>
      </c>
      <c r="H39" s="18">
        <f t="shared" si="0"/>
        <v>4.2740941422269002E-2</v>
      </c>
      <c r="I39" s="21">
        <f>Juni!M39</f>
        <v>51723418</v>
      </c>
      <c r="J39" s="190">
        <f>Juni!N39</f>
        <v>9.070689002376076</v>
      </c>
      <c r="K39" s="21">
        <f>300000+375000+408000+403920+450900+375000+7028000+600000+1348800+1048800+8750000+1250000+8750000</f>
        <v>31088420</v>
      </c>
      <c r="L39" s="20">
        <f>K39/G39*100</f>
        <v>5.4519480788227961</v>
      </c>
      <c r="M39" s="21">
        <f>I39+K39</f>
        <v>82811838</v>
      </c>
      <c r="N39" s="20">
        <f>M39/G39*100</f>
        <v>14.522637081198871</v>
      </c>
      <c r="O39" s="22"/>
      <c r="P39" s="21">
        <f>G39-M39</f>
        <v>487414062</v>
      </c>
    </row>
    <row r="40" spans="1:16" s="3" customFormat="1" ht="22.5" customHeight="1">
      <c r="A40" s="214">
        <v>2</v>
      </c>
      <c r="B40" s="214">
        <v>8</v>
      </c>
      <c r="C40" s="214">
        <v>1</v>
      </c>
      <c r="D40" s="215" t="s">
        <v>24</v>
      </c>
      <c r="E40" s="214">
        <v>10</v>
      </c>
      <c r="F40" s="218" t="s">
        <v>118</v>
      </c>
      <c r="G40" s="217">
        <v>2961650</v>
      </c>
      <c r="H40" s="18">
        <f t="shared" si="0"/>
        <v>2.2198870511364529E-4</v>
      </c>
      <c r="I40" s="21">
        <f>Juni!M40</f>
        <v>0</v>
      </c>
      <c r="J40" s="190">
        <f>Juni!N40</f>
        <v>0</v>
      </c>
      <c r="K40" s="21">
        <f>533000+571000+40800+250000</f>
        <v>1394800</v>
      </c>
      <c r="L40" s="20">
        <f>K40/G40*100</f>
        <v>47.095369135448145</v>
      </c>
      <c r="M40" s="21">
        <f>I40+K40</f>
        <v>1394800</v>
      </c>
      <c r="N40" s="20">
        <f>M40/G40*100</f>
        <v>47.095369135448145</v>
      </c>
      <c r="O40" s="22"/>
      <c r="P40" s="21">
        <f>G40-M40</f>
        <v>1566850</v>
      </c>
    </row>
    <row r="41" spans="1:16" s="3" customFormat="1" ht="22.5" customHeight="1">
      <c r="A41" s="5">
        <v>2</v>
      </c>
      <c r="B41" s="5">
        <v>8</v>
      </c>
      <c r="C41" s="5">
        <v>1</v>
      </c>
      <c r="D41" s="6" t="s">
        <v>116</v>
      </c>
      <c r="E41" s="5"/>
      <c r="F41" s="167" t="s">
        <v>117</v>
      </c>
      <c r="G41" s="45">
        <f>SUM(G42:G44)</f>
        <v>9000000</v>
      </c>
      <c r="H41" s="9">
        <f t="shared" si="0"/>
        <v>6.7458961930775326E-4</v>
      </c>
      <c r="I41" s="8">
        <f>Juni!M41</f>
        <v>0</v>
      </c>
      <c r="J41" s="11">
        <f>Juni!N41</f>
        <v>0</v>
      </c>
      <c r="K41" s="45">
        <f>SUM(K42:K44)</f>
        <v>9000000</v>
      </c>
      <c r="L41" s="12">
        <f>K41/G41*100</f>
        <v>100</v>
      </c>
      <c r="M41" s="8">
        <f>I41+K41</f>
        <v>9000000</v>
      </c>
      <c r="N41" s="12">
        <f>M41/G41*100</f>
        <v>100</v>
      </c>
      <c r="O41" s="13"/>
      <c r="P41" s="8">
        <f>G41-M41</f>
        <v>0</v>
      </c>
    </row>
    <row r="42" spans="1:16" s="3" customFormat="1" ht="22.5" customHeight="1">
      <c r="A42" s="214">
        <v>2</v>
      </c>
      <c r="B42" s="214">
        <v>8</v>
      </c>
      <c r="C42" s="214">
        <v>1</v>
      </c>
      <c r="D42" s="215" t="s">
        <v>116</v>
      </c>
      <c r="E42" s="214">
        <v>2</v>
      </c>
      <c r="F42" s="218" t="s">
        <v>143</v>
      </c>
      <c r="G42" s="217">
        <v>0</v>
      </c>
      <c r="H42" s="18">
        <f t="shared" si="0"/>
        <v>0</v>
      </c>
      <c r="I42" s="21">
        <f>Juni!M42</f>
        <v>0</v>
      </c>
      <c r="J42" s="190" t="e">
        <f>Juni!N42</f>
        <v>#DIV/0!</v>
      </c>
      <c r="K42" s="164"/>
      <c r="L42" s="20" t="e">
        <f t="shared" ref="L42:L53" si="9">K42/G42*100</f>
        <v>#DIV/0!</v>
      </c>
      <c r="M42" s="30"/>
      <c r="N42" s="20" t="e">
        <f t="shared" ref="N42:N53" si="10">M42/G42*100</f>
        <v>#DIV/0!</v>
      </c>
      <c r="O42" s="165"/>
      <c r="P42" s="21">
        <f>G42-M42</f>
        <v>0</v>
      </c>
    </row>
    <row r="43" spans="1:16" s="3" customFormat="1" ht="22.5" customHeight="1">
      <c r="A43" s="214">
        <v>2</v>
      </c>
      <c r="B43" s="214">
        <v>8</v>
      </c>
      <c r="C43" s="214">
        <v>1</v>
      </c>
      <c r="D43" s="215" t="s">
        <v>116</v>
      </c>
      <c r="E43" s="214">
        <v>5</v>
      </c>
      <c r="F43" s="218" t="s">
        <v>144</v>
      </c>
      <c r="G43" s="217">
        <v>0</v>
      </c>
      <c r="H43" s="18">
        <f t="shared" si="0"/>
        <v>0</v>
      </c>
      <c r="I43" s="21">
        <f>Juni!M43</f>
        <v>0</v>
      </c>
      <c r="J43" s="190" t="e">
        <f>Juni!N43</f>
        <v>#DIV/0!</v>
      </c>
      <c r="K43" s="164"/>
      <c r="L43" s="20" t="e">
        <f t="shared" si="9"/>
        <v>#DIV/0!</v>
      </c>
      <c r="M43" s="30"/>
      <c r="N43" s="20" t="e">
        <f t="shared" si="10"/>
        <v>#DIV/0!</v>
      </c>
      <c r="O43" s="165"/>
      <c r="P43" s="21">
        <f t="shared" ref="P43:P53" si="11">G43-M43</f>
        <v>0</v>
      </c>
    </row>
    <row r="44" spans="1:16" s="3" customFormat="1" ht="22.5" customHeight="1">
      <c r="A44" s="214">
        <v>2</v>
      </c>
      <c r="B44" s="214">
        <v>8</v>
      </c>
      <c r="C44" s="214">
        <v>1</v>
      </c>
      <c r="D44" s="215" t="s">
        <v>116</v>
      </c>
      <c r="E44" s="214">
        <v>6</v>
      </c>
      <c r="F44" s="218" t="s">
        <v>119</v>
      </c>
      <c r="G44" s="217">
        <v>9000000</v>
      </c>
      <c r="H44" s="18">
        <f t="shared" si="0"/>
        <v>6.7458961930775326E-4</v>
      </c>
      <c r="I44" s="21">
        <f>Juni!M44</f>
        <v>0</v>
      </c>
      <c r="J44" s="190">
        <f>Juni!N44</f>
        <v>0</v>
      </c>
      <c r="K44" s="21">
        <f>9000000</f>
        <v>9000000</v>
      </c>
      <c r="L44" s="20">
        <f t="shared" si="9"/>
        <v>100</v>
      </c>
      <c r="M44" s="21">
        <f>I44+K44</f>
        <v>9000000</v>
      </c>
      <c r="N44" s="20">
        <f t="shared" si="10"/>
        <v>100</v>
      </c>
      <c r="O44" s="22"/>
      <c r="P44" s="21">
        <f t="shared" si="11"/>
        <v>0</v>
      </c>
    </row>
    <row r="45" spans="1:16" s="106" customFormat="1" ht="22.5" customHeight="1">
      <c r="A45" s="5">
        <v>2</v>
      </c>
      <c r="B45" s="5">
        <v>8</v>
      </c>
      <c r="C45" s="5">
        <v>1</v>
      </c>
      <c r="D45" s="6" t="s">
        <v>23</v>
      </c>
      <c r="E45" s="5"/>
      <c r="F45" s="7" t="s">
        <v>3</v>
      </c>
      <c r="G45" s="45">
        <f>SUM(G46:G49)</f>
        <v>502540377</v>
      </c>
      <c r="H45" s="9">
        <f t="shared" si="0"/>
        <v>3.7667613511911648E-2</v>
      </c>
      <c r="I45" s="8">
        <f>Juni!M45</f>
        <v>202282624</v>
      </c>
      <c r="J45" s="11">
        <f>Juni!N45</f>
        <v>40.252014217755082</v>
      </c>
      <c r="K45" s="45">
        <f>SUM(K46:K49)</f>
        <v>39479071</v>
      </c>
      <c r="L45" s="12">
        <f t="shared" si="9"/>
        <v>7.8559003031113654</v>
      </c>
      <c r="M45" s="8">
        <f t="shared" ref="M45:M53" si="12">I45+K45</f>
        <v>241761695</v>
      </c>
      <c r="N45" s="12">
        <f t="shared" si="10"/>
        <v>48.107914520866451</v>
      </c>
      <c r="O45" s="13"/>
      <c r="P45" s="8">
        <f t="shared" si="11"/>
        <v>260778682</v>
      </c>
    </row>
    <row r="46" spans="1:16" s="3" customFormat="1" ht="22.5" customHeight="1">
      <c r="A46" s="14">
        <v>2</v>
      </c>
      <c r="B46" s="14">
        <v>8</v>
      </c>
      <c r="C46" s="14">
        <v>1</v>
      </c>
      <c r="D46" s="15" t="s">
        <v>23</v>
      </c>
      <c r="E46" s="14">
        <v>1</v>
      </c>
      <c r="F46" s="16" t="s">
        <v>65</v>
      </c>
      <c r="G46" s="17">
        <v>1749600</v>
      </c>
      <c r="H46" s="18">
        <f t="shared" si="0"/>
        <v>1.3114022199342724E-4</v>
      </c>
      <c r="I46" s="21">
        <f>Juni!M46</f>
        <v>0</v>
      </c>
      <c r="J46" s="190">
        <f>Juni!N46</f>
        <v>0</v>
      </c>
      <c r="K46" s="21">
        <f>353940+250000</f>
        <v>603940</v>
      </c>
      <c r="L46" s="20">
        <f t="shared" si="9"/>
        <v>34.518747142203935</v>
      </c>
      <c r="M46" s="21">
        <f t="shared" si="12"/>
        <v>603940</v>
      </c>
      <c r="N46" s="20">
        <f t="shared" si="10"/>
        <v>34.518747142203935</v>
      </c>
      <c r="O46" s="22"/>
      <c r="P46" s="21">
        <f t="shared" si="11"/>
        <v>1145660</v>
      </c>
    </row>
    <row r="47" spans="1:16" s="3" customFormat="1" ht="22.5" customHeight="1">
      <c r="A47" s="214">
        <v>2</v>
      </c>
      <c r="B47" s="214">
        <v>8</v>
      </c>
      <c r="C47" s="214">
        <v>1</v>
      </c>
      <c r="D47" s="215" t="s">
        <v>23</v>
      </c>
      <c r="E47" s="214">
        <v>2</v>
      </c>
      <c r="F47" s="216" t="s">
        <v>66</v>
      </c>
      <c r="G47" s="217">
        <v>114690777</v>
      </c>
      <c r="H47" s="18">
        <f t="shared" si="0"/>
        <v>8.5965786216156033E-3</v>
      </c>
      <c r="I47" s="21">
        <f>Juni!M47</f>
        <v>39313124</v>
      </c>
      <c r="J47" s="190">
        <f>Juni!N47</f>
        <v>34.277493821495341</v>
      </c>
      <c r="K47" s="21">
        <f>5360322+530250+1801200+5330409+530250+1801200</f>
        <v>15353631</v>
      </c>
      <c r="L47" s="20">
        <f t="shared" si="9"/>
        <v>13.38697966969044</v>
      </c>
      <c r="M47" s="21">
        <f t="shared" si="12"/>
        <v>54666755</v>
      </c>
      <c r="N47" s="20">
        <f t="shared" si="10"/>
        <v>47.664473491185781</v>
      </c>
      <c r="O47" s="22"/>
      <c r="P47" s="21">
        <f t="shared" si="11"/>
        <v>60024022</v>
      </c>
    </row>
    <row r="48" spans="1:16" s="3" customFormat="1" ht="22.5" customHeight="1">
      <c r="A48" s="14">
        <v>2</v>
      </c>
      <c r="B48" s="14">
        <v>8</v>
      </c>
      <c r="C48" s="14">
        <v>1</v>
      </c>
      <c r="D48" s="15" t="s">
        <v>23</v>
      </c>
      <c r="E48" s="14">
        <v>3</v>
      </c>
      <c r="F48" s="16" t="s">
        <v>67</v>
      </c>
      <c r="G48" s="17">
        <v>36800000</v>
      </c>
      <c r="H48" s="18">
        <f t="shared" si="0"/>
        <v>2.758321998947258E-3</v>
      </c>
      <c r="I48" s="21">
        <f>Juni!M48</f>
        <v>14000000</v>
      </c>
      <c r="J48" s="190">
        <f>Juni!N48</f>
        <v>38.04347826086957</v>
      </c>
      <c r="K48" s="21"/>
      <c r="L48" s="20">
        <f t="shared" si="9"/>
        <v>0</v>
      </c>
      <c r="M48" s="21">
        <f t="shared" si="12"/>
        <v>14000000</v>
      </c>
      <c r="N48" s="20">
        <f t="shared" si="10"/>
        <v>38.04347826086957</v>
      </c>
      <c r="O48" s="22"/>
      <c r="P48" s="21">
        <f t="shared" si="11"/>
        <v>22800000</v>
      </c>
    </row>
    <row r="49" spans="1:16" s="3" customFormat="1" ht="22.5" customHeight="1">
      <c r="A49" s="214">
        <v>2</v>
      </c>
      <c r="B49" s="214">
        <v>8</v>
      </c>
      <c r="C49" s="214">
        <v>1</v>
      </c>
      <c r="D49" s="215" t="s">
        <v>23</v>
      </c>
      <c r="E49" s="214">
        <v>4</v>
      </c>
      <c r="F49" s="216" t="s">
        <v>68</v>
      </c>
      <c r="G49" s="217">
        <v>349300000</v>
      </c>
      <c r="H49" s="18">
        <f t="shared" si="0"/>
        <v>2.618157266935536E-2</v>
      </c>
      <c r="I49" s="21">
        <f>Juni!M49</f>
        <v>148969500</v>
      </c>
      <c r="J49" s="190">
        <f>Juni!N49</f>
        <v>42.648010306326938</v>
      </c>
      <c r="K49" s="24">
        <f>23400000+121500</f>
        <v>23521500</v>
      </c>
      <c r="L49" s="20">
        <f t="shared" si="9"/>
        <v>6.7338963641568856</v>
      </c>
      <c r="M49" s="21">
        <f t="shared" si="12"/>
        <v>172491000</v>
      </c>
      <c r="N49" s="20">
        <f t="shared" si="10"/>
        <v>49.381906670483829</v>
      </c>
      <c r="O49" s="22"/>
      <c r="P49" s="21">
        <f t="shared" si="11"/>
        <v>176809000</v>
      </c>
    </row>
    <row r="50" spans="1:16" s="106" customFormat="1" ht="22.5" customHeight="1">
      <c r="A50" s="5">
        <v>2</v>
      </c>
      <c r="B50" s="5">
        <v>8</v>
      </c>
      <c r="C50" s="5">
        <v>1</v>
      </c>
      <c r="D50" s="6" t="s">
        <v>22</v>
      </c>
      <c r="E50" s="5"/>
      <c r="F50" s="7" t="s">
        <v>21</v>
      </c>
      <c r="G50" s="26">
        <f>SUM(G51:G53)</f>
        <v>128920000</v>
      </c>
      <c r="H50" s="9">
        <f t="shared" si="0"/>
        <v>9.6631215245728402E-3</v>
      </c>
      <c r="I50" s="8">
        <f>Juni!M50</f>
        <v>60362607</v>
      </c>
      <c r="J50" s="11">
        <f>Juni!N50</f>
        <v>46.821755352156373</v>
      </c>
      <c r="K50" s="26">
        <f>SUM(K51:K53)</f>
        <v>38082784</v>
      </c>
      <c r="L50" s="12">
        <f t="shared" si="9"/>
        <v>29.539857275829974</v>
      </c>
      <c r="M50" s="8">
        <f t="shared" si="12"/>
        <v>98445391</v>
      </c>
      <c r="N50" s="12">
        <f t="shared" si="10"/>
        <v>76.361612627986347</v>
      </c>
      <c r="O50" s="13"/>
      <c r="P50" s="8">
        <f t="shared" si="11"/>
        <v>30474609</v>
      </c>
    </row>
    <row r="51" spans="1:16" s="3" customFormat="1" ht="31.5" customHeight="1">
      <c r="A51" s="214">
        <v>2</v>
      </c>
      <c r="B51" s="214">
        <v>8</v>
      </c>
      <c r="C51" s="214">
        <v>1</v>
      </c>
      <c r="D51" s="215" t="s">
        <v>22</v>
      </c>
      <c r="E51" s="214">
        <v>1</v>
      </c>
      <c r="F51" s="216" t="s">
        <v>69</v>
      </c>
      <c r="G51" s="219">
        <v>113290000</v>
      </c>
      <c r="H51" s="18">
        <f t="shared" si="0"/>
        <v>8.4915842190417083E-3</v>
      </c>
      <c r="I51" s="21">
        <f>Juni!M51</f>
        <v>60362607</v>
      </c>
      <c r="J51" s="190">
        <f>Juni!N51</f>
        <v>53.281496160296584</v>
      </c>
      <c r="K51" s="21">
        <f>1210000+687000+150000+3214707+1911183+6050000+3025000+6050000+3025000+345000+1689000+1665894+300000+1690000+1420000</f>
        <v>32432784</v>
      </c>
      <c r="L51" s="20">
        <f t="shared" si="9"/>
        <v>28.628108394386086</v>
      </c>
      <c r="M51" s="21">
        <f t="shared" si="12"/>
        <v>92795391</v>
      </c>
      <c r="N51" s="20">
        <f t="shared" si="10"/>
        <v>81.909604554682673</v>
      </c>
      <c r="O51" s="22"/>
      <c r="P51" s="21">
        <f t="shared" si="11"/>
        <v>20494609</v>
      </c>
    </row>
    <row r="52" spans="1:16" s="3" customFormat="1" ht="22.5" customHeight="1">
      <c r="A52" s="214">
        <v>2</v>
      </c>
      <c r="B52" s="214">
        <v>8</v>
      </c>
      <c r="C52" s="214">
        <v>1</v>
      </c>
      <c r="D52" s="215" t="s">
        <v>22</v>
      </c>
      <c r="E52" s="214">
        <v>6</v>
      </c>
      <c r="F52" s="216" t="s">
        <v>70</v>
      </c>
      <c r="G52" s="219">
        <v>8940000</v>
      </c>
      <c r="H52" s="18">
        <f t="shared" si="0"/>
        <v>6.700923551790349E-4</v>
      </c>
      <c r="I52" s="21">
        <f>Juni!M52</f>
        <v>0</v>
      </c>
      <c r="J52" s="190">
        <f>Juni!N52</f>
        <v>0</v>
      </c>
      <c r="K52" s="21">
        <f>4270000+1380000</f>
        <v>5650000</v>
      </c>
      <c r="L52" s="20">
        <f t="shared" si="9"/>
        <v>63.199105145413867</v>
      </c>
      <c r="M52" s="21">
        <f t="shared" si="12"/>
        <v>5650000</v>
      </c>
      <c r="N52" s="20">
        <f t="shared" si="10"/>
        <v>63.199105145413867</v>
      </c>
      <c r="O52" s="22"/>
      <c r="P52" s="21">
        <f t="shared" si="11"/>
        <v>3290000</v>
      </c>
    </row>
    <row r="53" spans="1:16" s="3" customFormat="1" ht="22.5" customHeight="1">
      <c r="A53" s="214">
        <v>2</v>
      </c>
      <c r="B53" s="214">
        <v>8</v>
      </c>
      <c r="C53" s="214">
        <v>1</v>
      </c>
      <c r="D53" s="215" t="s">
        <v>22</v>
      </c>
      <c r="E53" s="214">
        <v>9</v>
      </c>
      <c r="F53" s="216" t="s">
        <v>88</v>
      </c>
      <c r="G53" s="219">
        <v>6690000</v>
      </c>
      <c r="H53" s="18">
        <f t="shared" si="0"/>
        <v>5.0144495035209658E-4</v>
      </c>
      <c r="I53" s="21">
        <f>Juni!M53</f>
        <v>0</v>
      </c>
      <c r="J53" s="190">
        <f>Juni!N53</f>
        <v>0</v>
      </c>
      <c r="K53" s="21">
        <v>0</v>
      </c>
      <c r="L53" s="20">
        <f t="shared" si="9"/>
        <v>0</v>
      </c>
      <c r="M53" s="30">
        <f t="shared" si="12"/>
        <v>0</v>
      </c>
      <c r="N53" s="29">
        <f t="shared" si="10"/>
        <v>0</v>
      </c>
      <c r="O53" s="22"/>
      <c r="P53" s="21">
        <f t="shared" si="11"/>
        <v>6690000</v>
      </c>
    </row>
    <row r="54" spans="1:16" s="146" customFormat="1" ht="31.5" customHeight="1">
      <c r="A54" s="130"/>
      <c r="B54" s="130"/>
      <c r="C54" s="130"/>
      <c r="D54" s="131"/>
      <c r="E54" s="130"/>
      <c r="F54" s="140" t="s">
        <v>108</v>
      </c>
      <c r="G54" s="144">
        <f>G55+G67+G72</f>
        <v>441320000</v>
      </c>
      <c r="H54" s="132"/>
      <c r="I54" s="231">
        <f>Juni!M54</f>
        <v>0</v>
      </c>
      <c r="J54" s="232">
        <f>Juni!N54</f>
        <v>0</v>
      </c>
      <c r="K54" s="136"/>
      <c r="L54" s="135"/>
      <c r="M54" s="138"/>
      <c r="N54" s="139"/>
      <c r="O54" s="143"/>
      <c r="P54" s="136"/>
    </row>
    <row r="55" spans="1:16" s="49" customFormat="1" ht="22.5" customHeight="1">
      <c r="A55" s="36">
        <v>2</v>
      </c>
      <c r="B55" s="36">
        <v>8</v>
      </c>
      <c r="C55" s="36">
        <v>2</v>
      </c>
      <c r="D55" s="37"/>
      <c r="E55" s="36"/>
      <c r="F55" s="38" t="s">
        <v>20</v>
      </c>
      <c r="G55" s="46">
        <f>G56+G58</f>
        <v>90265000</v>
      </c>
      <c r="H55" s="40">
        <f>+G55/$G$119*100%</f>
        <v>6.7657591096460393E-3</v>
      </c>
      <c r="I55" s="39">
        <f>Juni!M55</f>
        <v>0</v>
      </c>
      <c r="J55" s="42">
        <f>Juni!N55</f>
        <v>0</v>
      </c>
      <c r="K55" s="46">
        <f>K56+K58</f>
        <v>44206600</v>
      </c>
      <c r="L55" s="43">
        <f>K55/G55*100</f>
        <v>48.974242508170384</v>
      </c>
      <c r="M55" s="39">
        <f>I55+K55</f>
        <v>44206600</v>
      </c>
      <c r="N55" s="43">
        <f>M55/G55*100</f>
        <v>48.974242508170384</v>
      </c>
      <c r="O55" s="44"/>
      <c r="P55" s="39">
        <f>G55-M55</f>
        <v>46058400</v>
      </c>
    </row>
    <row r="56" spans="1:16" s="106" customFormat="1" ht="31.5" customHeight="1">
      <c r="A56" s="5">
        <v>2</v>
      </c>
      <c r="B56" s="5">
        <v>8</v>
      </c>
      <c r="C56" s="5">
        <v>2</v>
      </c>
      <c r="D56" s="6" t="s">
        <v>8</v>
      </c>
      <c r="E56" s="5"/>
      <c r="F56" s="7" t="s">
        <v>19</v>
      </c>
      <c r="G56" s="45">
        <f>SUM(G57:G57)</f>
        <v>17360000</v>
      </c>
      <c r="H56" s="9">
        <f>+G56/$G$119*100%</f>
        <v>1.3012084212425108E-3</v>
      </c>
      <c r="I56" s="8">
        <f>Juni!M56</f>
        <v>0</v>
      </c>
      <c r="J56" s="11">
        <f>Juni!N56</f>
        <v>0</v>
      </c>
      <c r="K56" s="45">
        <f>SUM(K57:K57)</f>
        <v>4210000</v>
      </c>
      <c r="L56" s="12">
        <f>K56/G56*100</f>
        <v>24.251152073732719</v>
      </c>
      <c r="M56" s="8">
        <f>I56+K56</f>
        <v>4210000</v>
      </c>
      <c r="N56" s="12">
        <f>M56/G56*100</f>
        <v>24.251152073732719</v>
      </c>
      <c r="O56" s="13"/>
      <c r="P56" s="8">
        <f>G56-M56</f>
        <v>13150000</v>
      </c>
    </row>
    <row r="57" spans="1:16" s="3" customFormat="1" ht="30" customHeight="1">
      <c r="A57" s="214">
        <v>2</v>
      </c>
      <c r="B57" s="214">
        <v>8</v>
      </c>
      <c r="C57" s="214">
        <v>2</v>
      </c>
      <c r="D57" s="215" t="s">
        <v>8</v>
      </c>
      <c r="E57" s="214">
        <v>7</v>
      </c>
      <c r="F57" s="218" t="s">
        <v>145</v>
      </c>
      <c r="G57" s="217">
        <v>17360000</v>
      </c>
      <c r="H57" s="18">
        <f>+G57/$G$119*100%</f>
        <v>1.3012084212425108E-3</v>
      </c>
      <c r="I57" s="21">
        <f>Juni!M57</f>
        <v>0</v>
      </c>
      <c r="J57" s="190">
        <f>Juni!N57</f>
        <v>0</v>
      </c>
      <c r="K57" s="21">
        <f>2100000+900000+560000+300000+350000</f>
        <v>4210000</v>
      </c>
      <c r="L57" s="20">
        <f>K57/G57*100</f>
        <v>24.251152073732719</v>
      </c>
      <c r="M57" s="21">
        <f>I57+K57</f>
        <v>4210000</v>
      </c>
      <c r="N57" s="20">
        <f>M57/G57*100</f>
        <v>24.251152073732719</v>
      </c>
      <c r="O57" s="22"/>
      <c r="P57" s="21">
        <f>G57-M57</f>
        <v>13150000</v>
      </c>
    </row>
    <row r="58" spans="1:16" s="3" customFormat="1" ht="36" customHeight="1">
      <c r="A58" s="5">
        <v>2</v>
      </c>
      <c r="B58" s="5">
        <v>8</v>
      </c>
      <c r="C58" s="5">
        <v>2</v>
      </c>
      <c r="D58" s="6" t="s">
        <v>7</v>
      </c>
      <c r="E58" s="5"/>
      <c r="F58" s="7" t="s">
        <v>146</v>
      </c>
      <c r="G58" s="45">
        <f>SUM(G59:G59)</f>
        <v>72905000</v>
      </c>
      <c r="H58" s="9">
        <f>+G58/$G$119*100%</f>
        <v>5.4645506884035281E-3</v>
      </c>
      <c r="I58" s="8">
        <f>Juni!M58</f>
        <v>0</v>
      </c>
      <c r="J58" s="11">
        <f>Juni!N58</f>
        <v>0</v>
      </c>
      <c r="K58" s="45">
        <f>SUM(K59:K59)</f>
        <v>39996600</v>
      </c>
      <c r="L58" s="12">
        <f>K58/G58*100</f>
        <v>54.8612578012482</v>
      </c>
      <c r="M58" s="8">
        <f>I58+K58</f>
        <v>39996600</v>
      </c>
      <c r="N58" s="12">
        <f>M58/G58*100</f>
        <v>54.8612578012482</v>
      </c>
      <c r="O58" s="13"/>
      <c r="P58" s="8">
        <f>G58-M58</f>
        <v>32908400</v>
      </c>
    </row>
    <row r="59" spans="1:16" s="3" customFormat="1" ht="34.5" customHeight="1">
      <c r="A59" s="214">
        <v>2</v>
      </c>
      <c r="B59" s="214">
        <v>8</v>
      </c>
      <c r="C59" s="214">
        <v>2</v>
      </c>
      <c r="D59" s="215" t="s">
        <v>7</v>
      </c>
      <c r="E59" s="214">
        <v>3</v>
      </c>
      <c r="F59" s="218" t="s">
        <v>147</v>
      </c>
      <c r="G59" s="217">
        <v>72905000</v>
      </c>
      <c r="H59" s="18">
        <f>+G59/$G$119*100%</f>
        <v>5.4645506884035281E-3</v>
      </c>
      <c r="I59" s="21">
        <f>Juni!M59</f>
        <v>0</v>
      </c>
      <c r="J59" s="190">
        <f>Juni!N59</f>
        <v>0</v>
      </c>
      <c r="K59" s="21">
        <f>3400000+4000000+2000000+3400000+4000000+150000+2000000+2988000+1700000+16058600+300000</f>
        <v>39996600</v>
      </c>
      <c r="L59" s="20">
        <f>K59/G59*100</f>
        <v>54.8612578012482</v>
      </c>
      <c r="M59" s="21">
        <f>I59+K59</f>
        <v>39996600</v>
      </c>
      <c r="N59" s="20">
        <f>M59/G59*100</f>
        <v>54.8612578012482</v>
      </c>
      <c r="O59" s="22"/>
      <c r="P59" s="21">
        <f>G59-M59</f>
        <v>32908400</v>
      </c>
    </row>
    <row r="60" spans="1:16" s="146" customFormat="1" ht="31.5" customHeight="1">
      <c r="A60" s="130"/>
      <c r="B60" s="130"/>
      <c r="C60" s="130"/>
      <c r="D60" s="131"/>
      <c r="E60" s="130"/>
      <c r="F60" s="140" t="s">
        <v>103</v>
      </c>
      <c r="G60" s="144">
        <f>G61</f>
        <v>145888000</v>
      </c>
      <c r="H60" s="132"/>
      <c r="I60" s="138">
        <f>Juni!M60</f>
        <v>0</v>
      </c>
      <c r="J60" s="134">
        <f>Juni!N60</f>
        <v>0</v>
      </c>
      <c r="K60" s="136"/>
      <c r="L60" s="135"/>
      <c r="M60" s="138"/>
      <c r="N60" s="139"/>
      <c r="O60" s="143"/>
      <c r="P60" s="136"/>
    </row>
    <row r="61" spans="1:16" s="49" customFormat="1" ht="22.5" customHeight="1">
      <c r="A61" s="36">
        <v>2</v>
      </c>
      <c r="B61" s="36">
        <v>8</v>
      </c>
      <c r="C61" s="36">
        <v>3</v>
      </c>
      <c r="D61" s="37"/>
      <c r="E61" s="36"/>
      <c r="F61" s="38" t="s">
        <v>2</v>
      </c>
      <c r="G61" s="47">
        <f>G62+G64</f>
        <v>145888000</v>
      </c>
      <c r="H61" s="40">
        <f t="shared" ref="H61:H74" si="13">+G61/$G$119*100%</f>
        <v>1.0934947820174391E-2</v>
      </c>
      <c r="I61" s="39">
        <f>Juni!M61</f>
        <v>21254060</v>
      </c>
      <c r="J61" s="42">
        <f>Juni!N61</f>
        <v>14.568751370914674</v>
      </c>
      <c r="K61" s="47">
        <f>K62+K64</f>
        <v>22399000</v>
      </c>
      <c r="L61" s="43">
        <f t="shared" ref="L61:L74" si="14">K61/G61*100</f>
        <v>15.353558894494407</v>
      </c>
      <c r="M61" s="39">
        <f t="shared" ref="M61:M74" si="15">I61+K61</f>
        <v>43653060</v>
      </c>
      <c r="N61" s="43">
        <f t="shared" ref="N61:N74" si="16">M61/G61*100</f>
        <v>29.922310265409081</v>
      </c>
      <c r="O61" s="44"/>
      <c r="P61" s="39">
        <f t="shared" ref="P61:P74" si="17">G61-M61</f>
        <v>102234940</v>
      </c>
    </row>
    <row r="62" spans="1:16" s="106" customFormat="1" ht="32.25" customHeight="1">
      <c r="A62" s="5">
        <v>2</v>
      </c>
      <c r="B62" s="5">
        <v>8</v>
      </c>
      <c r="C62" s="5">
        <v>3</v>
      </c>
      <c r="D62" s="6" t="s">
        <v>8</v>
      </c>
      <c r="E62" s="5"/>
      <c r="F62" s="7" t="s">
        <v>18</v>
      </c>
      <c r="G62" s="45">
        <f>G63</f>
        <v>123413000</v>
      </c>
      <c r="H62" s="9">
        <f t="shared" si="13"/>
        <v>9.250347631958639E-3</v>
      </c>
      <c r="I62" s="8">
        <f>Juni!M62</f>
        <v>21254060</v>
      </c>
      <c r="J62" s="11">
        <f>Juni!N62</f>
        <v>17.221897206939303</v>
      </c>
      <c r="K62" s="45">
        <f>K63</f>
        <v>15799000</v>
      </c>
      <c r="L62" s="12">
        <f t="shared" si="14"/>
        <v>12.801730773905504</v>
      </c>
      <c r="M62" s="8">
        <f t="shared" si="15"/>
        <v>37053060</v>
      </c>
      <c r="N62" s="12">
        <f t="shared" si="16"/>
        <v>30.023627980844807</v>
      </c>
      <c r="O62" s="13"/>
      <c r="P62" s="8">
        <f t="shared" si="17"/>
        <v>86359940</v>
      </c>
    </row>
    <row r="63" spans="1:16" s="3" customFormat="1" ht="32.25" customHeight="1">
      <c r="A63" s="214">
        <v>2</v>
      </c>
      <c r="B63" s="214">
        <v>8</v>
      </c>
      <c r="C63" s="214">
        <v>3</v>
      </c>
      <c r="D63" s="215" t="s">
        <v>8</v>
      </c>
      <c r="E63" s="214">
        <v>1</v>
      </c>
      <c r="F63" s="216" t="s">
        <v>71</v>
      </c>
      <c r="G63" s="217">
        <v>123413000</v>
      </c>
      <c r="H63" s="18">
        <f t="shared" si="13"/>
        <v>9.250347631958639E-3</v>
      </c>
      <c r="I63" s="21">
        <f>Juni!M63</f>
        <v>21254060</v>
      </c>
      <c r="J63" s="190">
        <f>Juni!N63</f>
        <v>17.221897206939303</v>
      </c>
      <c r="K63" s="21">
        <f>1850000+1800000+5550000+1100000+2284000+1610000+1605000</f>
        <v>15799000</v>
      </c>
      <c r="L63" s="20">
        <f t="shared" si="14"/>
        <v>12.801730773905504</v>
      </c>
      <c r="M63" s="21">
        <f t="shared" si="15"/>
        <v>37053060</v>
      </c>
      <c r="N63" s="20">
        <f t="shared" si="16"/>
        <v>30.023627980844807</v>
      </c>
      <c r="O63" s="22"/>
      <c r="P63" s="21">
        <f t="shared" si="17"/>
        <v>86359940</v>
      </c>
    </row>
    <row r="64" spans="1:16" s="106" customFormat="1" ht="32.25" customHeight="1">
      <c r="A64" s="5">
        <v>2</v>
      </c>
      <c r="B64" s="5">
        <v>8</v>
      </c>
      <c r="C64" s="5">
        <v>3</v>
      </c>
      <c r="D64" s="6" t="s">
        <v>14</v>
      </c>
      <c r="E64" s="5"/>
      <c r="F64" s="7" t="s">
        <v>17</v>
      </c>
      <c r="G64" s="45">
        <f>G65+G66</f>
        <v>22475000</v>
      </c>
      <c r="H64" s="9">
        <f t="shared" si="13"/>
        <v>1.6846001882157506E-3</v>
      </c>
      <c r="I64" s="8">
        <f>Juni!M64</f>
        <v>0</v>
      </c>
      <c r="J64" s="11">
        <f>Juni!N64</f>
        <v>0</v>
      </c>
      <c r="K64" s="45">
        <f>K65+K66</f>
        <v>6600000</v>
      </c>
      <c r="L64" s="108">
        <f t="shared" si="14"/>
        <v>29.365962180200221</v>
      </c>
      <c r="M64" s="8">
        <f t="shared" si="15"/>
        <v>6600000</v>
      </c>
      <c r="N64" s="12">
        <f t="shared" si="16"/>
        <v>29.365962180200221</v>
      </c>
      <c r="O64" s="13"/>
      <c r="P64" s="8">
        <f t="shared" si="17"/>
        <v>15875000</v>
      </c>
    </row>
    <row r="65" spans="1:16" s="3" customFormat="1" ht="32.25" customHeight="1">
      <c r="A65" s="214">
        <v>2</v>
      </c>
      <c r="B65" s="214">
        <v>8</v>
      </c>
      <c r="C65" s="214">
        <v>3</v>
      </c>
      <c r="D65" s="215" t="s">
        <v>14</v>
      </c>
      <c r="E65" s="214">
        <v>2</v>
      </c>
      <c r="F65" s="216" t="s">
        <v>72</v>
      </c>
      <c r="G65" s="217">
        <v>22475000</v>
      </c>
      <c r="H65" s="18">
        <f t="shared" si="13"/>
        <v>1.6846001882157506E-3</v>
      </c>
      <c r="I65" s="21">
        <f>Juni!M65</f>
        <v>0</v>
      </c>
      <c r="J65" s="190">
        <f>Juni!N65</f>
        <v>0</v>
      </c>
      <c r="K65" s="21">
        <f>3000000+3600000</f>
        <v>6600000</v>
      </c>
      <c r="L65" s="20">
        <f t="shared" si="14"/>
        <v>29.365962180200221</v>
      </c>
      <c r="M65" s="21">
        <f t="shared" si="15"/>
        <v>6600000</v>
      </c>
      <c r="N65" s="20">
        <f t="shared" si="16"/>
        <v>29.365962180200221</v>
      </c>
      <c r="O65" s="22"/>
      <c r="P65" s="21">
        <f t="shared" si="17"/>
        <v>15875000</v>
      </c>
    </row>
    <row r="66" spans="1:16" s="3" customFormat="1" ht="32.25" customHeight="1">
      <c r="A66" s="214">
        <v>2</v>
      </c>
      <c r="B66" s="214">
        <v>8</v>
      </c>
      <c r="C66" s="214">
        <v>3</v>
      </c>
      <c r="D66" s="215" t="s">
        <v>14</v>
      </c>
      <c r="E66" s="214">
        <v>3</v>
      </c>
      <c r="F66" s="216" t="s">
        <v>73</v>
      </c>
      <c r="G66" s="217">
        <v>0</v>
      </c>
      <c r="H66" s="18">
        <f t="shared" si="13"/>
        <v>0</v>
      </c>
      <c r="I66" s="21">
        <f>Juni!M66</f>
        <v>0</v>
      </c>
      <c r="J66" s="190" t="e">
        <f>Juni!N66</f>
        <v>#DIV/0!</v>
      </c>
      <c r="K66" s="21">
        <v>0</v>
      </c>
      <c r="L66" s="20" t="e">
        <f t="shared" si="14"/>
        <v>#DIV/0!</v>
      </c>
      <c r="M66" s="30">
        <f t="shared" si="15"/>
        <v>0</v>
      </c>
      <c r="N66" s="20" t="e">
        <f t="shared" si="16"/>
        <v>#DIV/0!</v>
      </c>
      <c r="O66" s="22"/>
      <c r="P66" s="21">
        <f t="shared" si="17"/>
        <v>0</v>
      </c>
    </row>
    <row r="67" spans="1:16" s="49" customFormat="1" ht="26.25" customHeight="1">
      <c r="A67" s="36">
        <v>2</v>
      </c>
      <c r="B67" s="36">
        <v>8</v>
      </c>
      <c r="C67" s="36">
        <v>4</v>
      </c>
      <c r="D67" s="37"/>
      <c r="E67" s="36"/>
      <c r="F67" s="38" t="s">
        <v>111</v>
      </c>
      <c r="G67" s="46">
        <f>G68+G70</f>
        <v>337220000</v>
      </c>
      <c r="H67" s="40">
        <f t="shared" si="13"/>
        <v>2.5276123491440063E-2</v>
      </c>
      <c r="I67" s="39">
        <f>Juni!M67</f>
        <v>8000000</v>
      </c>
      <c r="J67" s="42">
        <f>Juni!N67</f>
        <v>2.3723385327086173</v>
      </c>
      <c r="K67" s="46">
        <f>K68</f>
        <v>9750000</v>
      </c>
      <c r="L67" s="43">
        <f t="shared" si="14"/>
        <v>2.8912875867386276</v>
      </c>
      <c r="M67" s="39">
        <f t="shared" si="15"/>
        <v>17750000</v>
      </c>
      <c r="N67" s="43">
        <f t="shared" si="16"/>
        <v>5.2636261194472445</v>
      </c>
      <c r="O67" s="48"/>
      <c r="P67" s="39">
        <f t="shared" si="17"/>
        <v>319470000</v>
      </c>
    </row>
    <row r="68" spans="1:16" s="106" customFormat="1" ht="35.25" customHeight="1">
      <c r="A68" s="5">
        <v>2</v>
      </c>
      <c r="B68" s="5">
        <v>8</v>
      </c>
      <c r="C68" s="5">
        <v>4</v>
      </c>
      <c r="D68" s="6" t="s">
        <v>8</v>
      </c>
      <c r="E68" s="5"/>
      <c r="F68" s="167" t="s">
        <v>121</v>
      </c>
      <c r="G68" s="45">
        <f>G69</f>
        <v>337220000</v>
      </c>
      <c r="H68" s="9">
        <f t="shared" si="13"/>
        <v>2.5276123491440063E-2</v>
      </c>
      <c r="I68" s="8">
        <f>Juni!M68</f>
        <v>8000000</v>
      </c>
      <c r="J68" s="11">
        <f>Juni!N68</f>
        <v>2.3723385327086173</v>
      </c>
      <c r="K68" s="45">
        <f>K69</f>
        <v>9750000</v>
      </c>
      <c r="L68" s="12">
        <f t="shared" si="14"/>
        <v>2.8912875867386276</v>
      </c>
      <c r="M68" s="8">
        <f t="shared" si="15"/>
        <v>17750000</v>
      </c>
      <c r="N68" s="12">
        <f t="shared" si="16"/>
        <v>5.2636261194472445</v>
      </c>
      <c r="O68" s="13"/>
      <c r="P68" s="8">
        <f t="shared" si="17"/>
        <v>319470000</v>
      </c>
    </row>
    <row r="69" spans="1:16" s="3" customFormat="1" ht="34.5" customHeight="1">
      <c r="A69" s="214">
        <v>2</v>
      </c>
      <c r="B69" s="214">
        <v>8</v>
      </c>
      <c r="C69" s="214">
        <v>4</v>
      </c>
      <c r="D69" s="215" t="s">
        <v>8</v>
      </c>
      <c r="E69" s="214">
        <v>3</v>
      </c>
      <c r="F69" s="218" t="s">
        <v>148</v>
      </c>
      <c r="G69" s="217">
        <v>337220000</v>
      </c>
      <c r="H69" s="18">
        <f t="shared" si="13"/>
        <v>2.5276123491440063E-2</v>
      </c>
      <c r="I69" s="21">
        <f>Juni!M69</f>
        <v>8000000</v>
      </c>
      <c r="J69" s="190">
        <f>Juni!N69</f>
        <v>2.3723385327086173</v>
      </c>
      <c r="K69" s="21">
        <f>9750000</f>
        <v>9750000</v>
      </c>
      <c r="L69" s="20">
        <f t="shared" si="14"/>
        <v>2.8912875867386276</v>
      </c>
      <c r="M69" s="21">
        <f t="shared" si="15"/>
        <v>17750000</v>
      </c>
      <c r="N69" s="20">
        <f t="shared" si="16"/>
        <v>5.2636261194472445</v>
      </c>
      <c r="O69" s="22"/>
      <c r="P69" s="21">
        <f t="shared" si="17"/>
        <v>319470000</v>
      </c>
    </row>
    <row r="70" spans="1:16" s="3" customFormat="1" ht="36" customHeight="1">
      <c r="A70" s="5">
        <v>2</v>
      </c>
      <c r="B70" s="5">
        <v>8</v>
      </c>
      <c r="C70" s="5">
        <v>4</v>
      </c>
      <c r="D70" s="6" t="s">
        <v>7</v>
      </c>
      <c r="E70" s="5"/>
      <c r="F70" s="167" t="s">
        <v>149</v>
      </c>
      <c r="G70" s="45">
        <f>G71</f>
        <v>0</v>
      </c>
      <c r="H70" s="9">
        <f t="shared" si="13"/>
        <v>0</v>
      </c>
      <c r="I70" s="8">
        <f>Juni!M70</f>
        <v>0</v>
      </c>
      <c r="J70" s="11" t="e">
        <f>Juni!N70</f>
        <v>#DIV/0!</v>
      </c>
      <c r="K70" s="45">
        <f>K71</f>
        <v>0</v>
      </c>
      <c r="L70" s="108" t="e">
        <f t="shared" si="14"/>
        <v>#DIV/0!</v>
      </c>
      <c r="M70" s="8">
        <f t="shared" si="15"/>
        <v>0</v>
      </c>
      <c r="N70" s="12" t="e">
        <f t="shared" si="16"/>
        <v>#DIV/0!</v>
      </c>
      <c r="O70" s="13"/>
      <c r="P70" s="8">
        <f t="shared" si="17"/>
        <v>0</v>
      </c>
    </row>
    <row r="71" spans="1:16" s="3" customFormat="1" ht="32.25" customHeight="1">
      <c r="A71" s="214">
        <v>2</v>
      </c>
      <c r="B71" s="214">
        <v>8</v>
      </c>
      <c r="C71" s="214">
        <v>4</v>
      </c>
      <c r="D71" s="215" t="s">
        <v>7</v>
      </c>
      <c r="E71" s="214">
        <v>2</v>
      </c>
      <c r="F71" s="218" t="s">
        <v>150</v>
      </c>
      <c r="G71" s="217">
        <v>0</v>
      </c>
      <c r="H71" s="18">
        <f t="shared" si="13"/>
        <v>0</v>
      </c>
      <c r="I71" s="21">
        <f>Juni!M71</f>
        <v>0</v>
      </c>
      <c r="J71" s="190" t="e">
        <f>Juni!N71</f>
        <v>#DIV/0!</v>
      </c>
      <c r="K71" s="21">
        <v>0</v>
      </c>
      <c r="L71" s="20" t="e">
        <f t="shared" si="14"/>
        <v>#DIV/0!</v>
      </c>
      <c r="M71" s="21">
        <f t="shared" si="15"/>
        <v>0</v>
      </c>
      <c r="N71" s="20" t="e">
        <f t="shared" si="16"/>
        <v>#DIV/0!</v>
      </c>
      <c r="O71" s="22"/>
      <c r="P71" s="21">
        <f t="shared" si="17"/>
        <v>0</v>
      </c>
    </row>
    <row r="72" spans="1:16" s="3" customFormat="1" ht="32.25" customHeight="1">
      <c r="A72" s="36">
        <v>2</v>
      </c>
      <c r="B72" s="36">
        <v>8</v>
      </c>
      <c r="C72" s="36">
        <v>5</v>
      </c>
      <c r="D72" s="37"/>
      <c r="E72" s="36"/>
      <c r="F72" s="38" t="s">
        <v>151</v>
      </c>
      <c r="G72" s="46">
        <f>G73</f>
        <v>13835000</v>
      </c>
      <c r="H72" s="40">
        <f t="shared" si="13"/>
        <v>1.0369941536803075E-3</v>
      </c>
      <c r="I72" s="39">
        <f>Juni!M72</f>
        <v>3400000</v>
      </c>
      <c r="J72" s="42">
        <f>Juni!N72</f>
        <v>24.575352367184678</v>
      </c>
      <c r="K72" s="46">
        <f>+K73</f>
        <v>3035000</v>
      </c>
      <c r="L72" s="43">
        <f t="shared" si="14"/>
        <v>21.937116010119261</v>
      </c>
      <c r="M72" s="39">
        <f t="shared" si="15"/>
        <v>6435000</v>
      </c>
      <c r="N72" s="43">
        <f t="shared" si="16"/>
        <v>46.512468377303939</v>
      </c>
      <c r="O72" s="48"/>
      <c r="P72" s="39">
        <f t="shared" si="17"/>
        <v>7400000</v>
      </c>
    </row>
    <row r="73" spans="1:16" s="3" customFormat="1" ht="32.25" customHeight="1">
      <c r="A73" s="5">
        <v>2</v>
      </c>
      <c r="B73" s="5">
        <v>8</v>
      </c>
      <c r="C73" s="5">
        <v>5</v>
      </c>
      <c r="D73" s="6" t="s">
        <v>8</v>
      </c>
      <c r="E73" s="5"/>
      <c r="F73" s="167" t="s">
        <v>152</v>
      </c>
      <c r="G73" s="45">
        <f>G74</f>
        <v>13835000</v>
      </c>
      <c r="H73" s="9">
        <f t="shared" si="13"/>
        <v>1.0369941536803075E-3</v>
      </c>
      <c r="I73" s="8">
        <f>Juni!M73</f>
        <v>3400000</v>
      </c>
      <c r="J73" s="11">
        <f>Juni!N73</f>
        <v>24.575352367184678</v>
      </c>
      <c r="K73" s="45">
        <f>K74</f>
        <v>3035000</v>
      </c>
      <c r="L73" s="12">
        <f t="shared" si="14"/>
        <v>21.937116010119261</v>
      </c>
      <c r="M73" s="8">
        <f t="shared" si="15"/>
        <v>6435000</v>
      </c>
      <c r="N73" s="12">
        <f t="shared" si="16"/>
        <v>46.512468377303939</v>
      </c>
      <c r="O73" s="13"/>
      <c r="P73" s="8">
        <f t="shared" si="17"/>
        <v>7400000</v>
      </c>
    </row>
    <row r="74" spans="1:16" s="3" customFormat="1" ht="30.75" customHeight="1">
      <c r="A74" s="214">
        <v>2</v>
      </c>
      <c r="B74" s="214">
        <v>8</v>
      </c>
      <c r="C74" s="214">
        <v>5</v>
      </c>
      <c r="D74" s="215" t="s">
        <v>8</v>
      </c>
      <c r="E74" s="214">
        <v>1</v>
      </c>
      <c r="F74" s="218" t="s">
        <v>153</v>
      </c>
      <c r="G74" s="217">
        <v>13835000</v>
      </c>
      <c r="H74" s="18">
        <f t="shared" si="13"/>
        <v>1.0369941536803075E-3</v>
      </c>
      <c r="I74" s="21">
        <f>Juni!M74</f>
        <v>3400000</v>
      </c>
      <c r="J74" s="190">
        <f>Juni!N74</f>
        <v>24.575352367184678</v>
      </c>
      <c r="K74" s="21">
        <f>1700000+560000+600000+175000</f>
        <v>3035000</v>
      </c>
      <c r="L74" s="20">
        <f t="shared" si="14"/>
        <v>21.937116010119261</v>
      </c>
      <c r="M74" s="21">
        <f t="shared" si="15"/>
        <v>6435000</v>
      </c>
      <c r="N74" s="20">
        <f t="shared" si="16"/>
        <v>46.512468377303939</v>
      </c>
      <c r="O74" s="22"/>
      <c r="P74" s="21">
        <f t="shared" si="17"/>
        <v>7400000</v>
      </c>
    </row>
    <row r="75" spans="1:16" s="146" customFormat="1" ht="30" customHeight="1">
      <c r="A75" s="130"/>
      <c r="B75" s="130"/>
      <c r="C75" s="130"/>
      <c r="D75" s="131"/>
      <c r="E75" s="130"/>
      <c r="F75" s="140" t="s">
        <v>104</v>
      </c>
      <c r="G75" s="144">
        <f>G76</f>
        <v>171883200</v>
      </c>
      <c r="H75" s="132"/>
      <c r="I75" s="138">
        <f>Juni!M75</f>
        <v>0</v>
      </c>
      <c r="J75" s="134">
        <f>Juni!N75</f>
        <v>0</v>
      </c>
      <c r="K75" s="136"/>
      <c r="L75" s="135"/>
      <c r="M75" s="138"/>
      <c r="N75" s="139"/>
      <c r="O75" s="137"/>
      <c r="P75" s="136"/>
    </row>
    <row r="76" spans="1:16" s="49" customFormat="1" ht="23.25" customHeight="1">
      <c r="A76" s="36">
        <v>2</v>
      </c>
      <c r="B76" s="36">
        <v>8</v>
      </c>
      <c r="C76" s="36">
        <v>6</v>
      </c>
      <c r="D76" s="37"/>
      <c r="E76" s="36"/>
      <c r="F76" s="38" t="s">
        <v>16</v>
      </c>
      <c r="G76" s="46">
        <f>G77+G80</f>
        <v>171883200</v>
      </c>
      <c r="H76" s="40">
        <f t="shared" ref="H76:H81" si="18">+G76/$G$119*100%</f>
        <v>1.2883402494822047E-2</v>
      </c>
      <c r="I76" s="39">
        <f>Juni!M76</f>
        <v>2055000</v>
      </c>
      <c r="J76" s="42">
        <f>Juni!N76</f>
        <v>1.1955793236337233</v>
      </c>
      <c r="K76" s="46">
        <f>+K77</f>
        <v>52113700</v>
      </c>
      <c r="L76" s="43">
        <f t="shared" ref="L76:L81" si="19">K76/G76*100</f>
        <v>30.319251677883585</v>
      </c>
      <c r="M76" s="39">
        <f t="shared" ref="M76:M81" si="20">I76+K76</f>
        <v>54168700</v>
      </c>
      <c r="N76" s="43">
        <f t="shared" ref="N76:N81" si="21">M76/G76*100</f>
        <v>31.514831001517308</v>
      </c>
      <c r="O76" s="44"/>
      <c r="P76" s="39">
        <f t="shared" ref="P76:P81" si="22">G76-M76</f>
        <v>117714500</v>
      </c>
    </row>
    <row r="77" spans="1:16" s="106" customFormat="1" ht="36" customHeight="1">
      <c r="A77" s="5">
        <v>2</v>
      </c>
      <c r="B77" s="5">
        <v>8</v>
      </c>
      <c r="C77" s="5">
        <v>6</v>
      </c>
      <c r="D77" s="6" t="s">
        <v>8</v>
      </c>
      <c r="E77" s="5"/>
      <c r="F77" s="7" t="s">
        <v>15</v>
      </c>
      <c r="G77" s="45">
        <f>G78+G79</f>
        <v>156094000</v>
      </c>
      <c r="H77" s="9">
        <f t="shared" si="18"/>
        <v>1.1699932448469383E-2</v>
      </c>
      <c r="I77" s="8">
        <f>Juni!M77</f>
        <v>2055000</v>
      </c>
      <c r="J77" s="11">
        <f>Juni!N77</f>
        <v>1.3165144079849322</v>
      </c>
      <c r="K77" s="45">
        <f>K78+K79</f>
        <v>52113700</v>
      </c>
      <c r="L77" s="12">
        <f t="shared" si="19"/>
        <v>33.386100682921828</v>
      </c>
      <c r="M77" s="8">
        <f t="shared" si="20"/>
        <v>54168700</v>
      </c>
      <c r="N77" s="12">
        <f t="shared" si="21"/>
        <v>34.702615090906761</v>
      </c>
      <c r="O77" s="13"/>
      <c r="P77" s="8">
        <f t="shared" si="22"/>
        <v>101925300</v>
      </c>
    </row>
    <row r="78" spans="1:16" s="3" customFormat="1" ht="30" customHeight="1">
      <c r="A78" s="214">
        <v>2</v>
      </c>
      <c r="B78" s="214">
        <v>8</v>
      </c>
      <c r="C78" s="214">
        <v>6</v>
      </c>
      <c r="D78" s="215" t="s">
        <v>8</v>
      </c>
      <c r="E78" s="214">
        <v>2</v>
      </c>
      <c r="F78" s="218" t="s">
        <v>122</v>
      </c>
      <c r="G78" s="217">
        <v>88539900</v>
      </c>
      <c r="H78" s="18">
        <f t="shared" si="18"/>
        <v>6.6364552705051715E-3</v>
      </c>
      <c r="I78" s="21">
        <f>Juni!M78</f>
        <v>0</v>
      </c>
      <c r="J78" s="190">
        <f>Juni!N78</f>
        <v>0</v>
      </c>
      <c r="K78" s="21">
        <f>2500000+495000+300000+625000+1250000+3125000+1000000+1800000</f>
        <v>11095000</v>
      </c>
      <c r="L78" s="20">
        <f t="shared" si="19"/>
        <v>12.53107356118541</v>
      </c>
      <c r="M78" s="21">
        <f t="shared" si="20"/>
        <v>11095000</v>
      </c>
      <c r="N78" s="20">
        <f t="shared" si="21"/>
        <v>12.53107356118541</v>
      </c>
      <c r="O78" s="22"/>
      <c r="P78" s="21">
        <f t="shared" si="22"/>
        <v>77444900</v>
      </c>
    </row>
    <row r="79" spans="1:16" s="3" customFormat="1" ht="43.5" customHeight="1">
      <c r="A79" s="214">
        <v>2</v>
      </c>
      <c r="B79" s="214">
        <v>8</v>
      </c>
      <c r="C79" s="214">
        <v>6</v>
      </c>
      <c r="D79" s="215" t="s">
        <v>8</v>
      </c>
      <c r="E79" s="214">
        <v>3</v>
      </c>
      <c r="F79" s="218" t="s">
        <v>123</v>
      </c>
      <c r="G79" s="217">
        <v>67554100</v>
      </c>
      <c r="H79" s="18">
        <f t="shared" si="18"/>
        <v>5.0634771779642105E-3</v>
      </c>
      <c r="I79" s="21">
        <f>Juni!M79</f>
        <v>2055000</v>
      </c>
      <c r="J79" s="190">
        <f>Juni!N79</f>
        <v>3.042006332702234</v>
      </c>
      <c r="K79" s="21">
        <f>225000+1250000+1250000+1250000+1250000+1250000+1250000+1684000+1684000+13863600+7588600+1700000+1500000+1800000+137100+43000+360600+296700+593100+268000+1400000+375000</f>
        <v>41018700</v>
      </c>
      <c r="L79" s="20">
        <f t="shared" si="19"/>
        <v>60.719778666283766</v>
      </c>
      <c r="M79" s="21">
        <f t="shared" si="20"/>
        <v>43073700</v>
      </c>
      <c r="N79" s="20">
        <f t="shared" si="21"/>
        <v>63.761784998985995</v>
      </c>
      <c r="O79" s="22"/>
      <c r="P79" s="21">
        <f t="shared" si="22"/>
        <v>24480400</v>
      </c>
    </row>
    <row r="80" spans="1:16" s="3" customFormat="1" ht="33.75" customHeight="1">
      <c r="A80" s="5">
        <v>2</v>
      </c>
      <c r="B80" s="5">
        <v>8</v>
      </c>
      <c r="C80" s="5">
        <v>6</v>
      </c>
      <c r="D80" s="6" t="s">
        <v>7</v>
      </c>
      <c r="E80" s="5"/>
      <c r="F80" s="167" t="s">
        <v>124</v>
      </c>
      <c r="G80" s="45">
        <f>G81</f>
        <v>15789200</v>
      </c>
      <c r="H80" s="9">
        <f t="shared" si="18"/>
        <v>1.1834700463526642E-3</v>
      </c>
      <c r="I80" s="8">
        <f>Juni!M80</f>
        <v>0</v>
      </c>
      <c r="J80" s="11">
        <f>Juni!N80</f>
        <v>0</v>
      </c>
      <c r="K80" s="45">
        <f>K81+K82</f>
        <v>0</v>
      </c>
      <c r="L80" s="108">
        <f t="shared" si="19"/>
        <v>0</v>
      </c>
      <c r="M80" s="8">
        <f t="shared" si="20"/>
        <v>0</v>
      </c>
      <c r="N80" s="12">
        <f t="shared" si="21"/>
        <v>0</v>
      </c>
      <c r="O80" s="13"/>
      <c r="P80" s="8">
        <f t="shared" si="22"/>
        <v>15789200</v>
      </c>
    </row>
    <row r="81" spans="1:16" s="3" customFormat="1" ht="27.75" customHeight="1">
      <c r="A81" s="214">
        <v>2</v>
      </c>
      <c r="B81" s="214">
        <v>8</v>
      </c>
      <c r="C81" s="214">
        <v>6</v>
      </c>
      <c r="D81" s="215" t="s">
        <v>7</v>
      </c>
      <c r="E81" s="214">
        <v>6</v>
      </c>
      <c r="F81" s="218" t="s">
        <v>125</v>
      </c>
      <c r="G81" s="217">
        <v>15789200</v>
      </c>
      <c r="H81" s="18">
        <f t="shared" si="18"/>
        <v>1.1834700463526642E-3</v>
      </c>
      <c r="I81" s="21">
        <f>Juni!M81</f>
        <v>0</v>
      </c>
      <c r="J81" s="190">
        <f>Juni!N81</f>
        <v>0</v>
      </c>
      <c r="K81" s="30">
        <v>0</v>
      </c>
      <c r="L81" s="20">
        <f t="shared" si="19"/>
        <v>0</v>
      </c>
      <c r="M81" s="30">
        <f t="shared" si="20"/>
        <v>0</v>
      </c>
      <c r="N81" s="29">
        <f t="shared" si="21"/>
        <v>0</v>
      </c>
      <c r="O81" s="22"/>
      <c r="P81" s="21">
        <f t="shared" si="22"/>
        <v>15789200</v>
      </c>
    </row>
    <row r="82" spans="1:16" s="3" customFormat="1" ht="30" customHeight="1">
      <c r="A82" s="130"/>
      <c r="B82" s="130"/>
      <c r="C82" s="130"/>
      <c r="D82" s="131"/>
      <c r="E82" s="130"/>
      <c r="F82" s="140" t="s">
        <v>105</v>
      </c>
      <c r="G82" s="144">
        <f>G83</f>
        <v>664592900</v>
      </c>
      <c r="H82" s="132"/>
      <c r="I82" s="138">
        <f>Juni!M82</f>
        <v>0</v>
      </c>
      <c r="J82" s="134">
        <f>Juni!N82</f>
        <v>0</v>
      </c>
      <c r="K82" s="136"/>
      <c r="L82" s="135"/>
      <c r="M82" s="138"/>
      <c r="N82" s="139"/>
      <c r="O82" s="143"/>
      <c r="P82" s="136"/>
    </row>
    <row r="83" spans="1:16" s="49" customFormat="1" ht="27" customHeight="1">
      <c r="A83" s="36">
        <v>2</v>
      </c>
      <c r="B83" s="36">
        <v>8</v>
      </c>
      <c r="C83" s="36">
        <v>7</v>
      </c>
      <c r="D83" s="37"/>
      <c r="E83" s="36"/>
      <c r="F83" s="38" t="s">
        <v>94</v>
      </c>
      <c r="G83" s="46">
        <f>G84+G86</f>
        <v>664592900</v>
      </c>
      <c r="H83" s="40">
        <f>+G83/$G$119*100%</f>
        <v>4.9814163489515083E-2</v>
      </c>
      <c r="I83" s="39">
        <f>Juni!M83</f>
        <v>89155900</v>
      </c>
      <c r="J83" s="42">
        <f>Juni!N83</f>
        <v>13.415114726624374</v>
      </c>
      <c r="K83" s="46">
        <f>K84+K86</f>
        <v>212815000</v>
      </c>
      <c r="L83" s="43">
        <f>K83/G83*100</f>
        <v>32.021858795060851</v>
      </c>
      <c r="M83" s="39">
        <f>I83+K83</f>
        <v>301970900</v>
      </c>
      <c r="N83" s="43">
        <f>M83/G83*100</f>
        <v>45.436973521685232</v>
      </c>
      <c r="O83" s="44"/>
      <c r="P83" s="39">
        <f>G83-M83</f>
        <v>362622000</v>
      </c>
    </row>
    <row r="84" spans="1:16" s="106" customFormat="1" ht="40.5" customHeight="1">
      <c r="A84" s="5">
        <v>2</v>
      </c>
      <c r="B84" s="5">
        <v>8</v>
      </c>
      <c r="C84" s="5">
        <v>7</v>
      </c>
      <c r="D84" s="6" t="s">
        <v>8</v>
      </c>
      <c r="E84" s="5"/>
      <c r="F84" s="7" t="s">
        <v>43</v>
      </c>
      <c r="G84" s="45">
        <f>G85</f>
        <v>616072900</v>
      </c>
      <c r="H84" s="9">
        <f>+G84/$G$119*100%</f>
        <v>4.6177375897424842E-2</v>
      </c>
      <c r="I84" s="8">
        <f>Juni!M84</f>
        <v>89155900</v>
      </c>
      <c r="J84" s="11">
        <f>Juni!N84</f>
        <v>14.471647754673189</v>
      </c>
      <c r="K84" s="45">
        <f>K85</f>
        <v>197425000</v>
      </c>
      <c r="L84" s="12">
        <f>K84/G84*100</f>
        <v>32.04572056326451</v>
      </c>
      <c r="M84" s="8">
        <f>I84+K84</f>
        <v>286580900</v>
      </c>
      <c r="N84" s="12">
        <f>M84/G84*100</f>
        <v>46.517368317937695</v>
      </c>
      <c r="O84" s="13"/>
      <c r="P84" s="8">
        <f>G84-M84</f>
        <v>329492000</v>
      </c>
    </row>
    <row r="85" spans="1:16" s="3" customFormat="1" ht="40.5" customHeight="1">
      <c r="A85" s="214">
        <v>2</v>
      </c>
      <c r="B85" s="214">
        <v>8</v>
      </c>
      <c r="C85" s="214">
        <v>7</v>
      </c>
      <c r="D85" s="215" t="s">
        <v>8</v>
      </c>
      <c r="E85" s="214">
        <v>2</v>
      </c>
      <c r="F85" s="216" t="s">
        <v>82</v>
      </c>
      <c r="G85" s="217">
        <v>616072900</v>
      </c>
      <c r="H85" s="18">
        <f>+G85/$G$119*100%</f>
        <v>4.6177375897424842E-2</v>
      </c>
      <c r="I85" s="21">
        <f>Juni!M85</f>
        <v>89155900</v>
      </c>
      <c r="J85" s="190">
        <f>Juni!N85</f>
        <v>14.471647754673189</v>
      </c>
      <c r="K85" s="21">
        <f>120000000+1400000+600000+3600000+4000000+1000000+5000000+5000000+6000000+7500000+7500000+5000000+5000000+375000+3000000+2000000+900000+900000+2250000+2000000+575000+1350000+600000+1400000+1400000+600000+3050000+3050000+1700000+675000</f>
        <v>197425000</v>
      </c>
      <c r="L85" s="20">
        <f>K85/G85*100</f>
        <v>32.04572056326451</v>
      </c>
      <c r="M85" s="21">
        <f>I85+K85</f>
        <v>286580900</v>
      </c>
      <c r="N85" s="20">
        <f>M85/G85*100</f>
        <v>46.517368317937695</v>
      </c>
      <c r="O85" s="22"/>
      <c r="P85" s="21">
        <f>G85-M85</f>
        <v>329492000</v>
      </c>
    </row>
    <row r="86" spans="1:16" s="106" customFormat="1" ht="48.75" customHeight="1">
      <c r="A86" s="5">
        <v>2</v>
      </c>
      <c r="B86" s="5">
        <v>8</v>
      </c>
      <c r="C86" s="5">
        <v>7</v>
      </c>
      <c r="D86" s="6" t="s">
        <v>14</v>
      </c>
      <c r="E86" s="5"/>
      <c r="F86" s="7" t="s">
        <v>13</v>
      </c>
      <c r="G86" s="45">
        <f>G87</f>
        <v>48520000</v>
      </c>
      <c r="H86" s="9">
        <f>+G86/$G$119*100%</f>
        <v>3.6367875920902434E-3</v>
      </c>
      <c r="I86" s="8">
        <f>Juni!M86</f>
        <v>0</v>
      </c>
      <c r="J86" s="11">
        <f>Juni!N86</f>
        <v>0</v>
      </c>
      <c r="K86" s="45">
        <f>K87</f>
        <v>15390000</v>
      </c>
      <c r="L86" s="12">
        <f>K86/G86*100</f>
        <v>31.718878812860673</v>
      </c>
      <c r="M86" s="8">
        <f>I86+K86</f>
        <v>15390000</v>
      </c>
      <c r="N86" s="12">
        <f>M86/G86*100</f>
        <v>31.718878812860673</v>
      </c>
      <c r="O86" s="13"/>
      <c r="P86" s="8">
        <f>G86-M86</f>
        <v>33130000</v>
      </c>
    </row>
    <row r="87" spans="1:16" s="3" customFormat="1" ht="40.5" customHeight="1">
      <c r="A87" s="214">
        <v>2</v>
      </c>
      <c r="B87" s="214">
        <v>8</v>
      </c>
      <c r="C87" s="214">
        <v>7</v>
      </c>
      <c r="D87" s="215" t="s">
        <v>14</v>
      </c>
      <c r="E87" s="214">
        <v>8</v>
      </c>
      <c r="F87" s="218" t="s">
        <v>126</v>
      </c>
      <c r="G87" s="217">
        <v>48520000</v>
      </c>
      <c r="H87" s="18">
        <f>+G87/$G$119*100%</f>
        <v>3.6367875920902434E-3</v>
      </c>
      <c r="I87" s="21">
        <f>Juni!M87</f>
        <v>0</v>
      </c>
      <c r="J87" s="190">
        <f>Juni!N87</f>
        <v>0</v>
      </c>
      <c r="K87" s="21">
        <f>5400000+9990000</f>
        <v>15390000</v>
      </c>
      <c r="L87" s="20">
        <f>K87/G87*100</f>
        <v>31.718878812860673</v>
      </c>
      <c r="M87" s="21">
        <f>I87+K87</f>
        <v>15390000</v>
      </c>
      <c r="N87" s="20">
        <f>M87/G87*100</f>
        <v>31.718878812860673</v>
      </c>
      <c r="O87" s="22"/>
      <c r="P87" s="21">
        <f>G87-M87</f>
        <v>33130000</v>
      </c>
    </row>
    <row r="88" spans="1:16" s="146" customFormat="1" ht="35.25" customHeight="1">
      <c r="A88" s="130"/>
      <c r="B88" s="130"/>
      <c r="C88" s="130"/>
      <c r="D88" s="131"/>
      <c r="E88" s="130"/>
      <c r="F88" s="140" t="s">
        <v>106</v>
      </c>
      <c r="G88" s="144">
        <f>G89+G95+G98</f>
        <v>619715450</v>
      </c>
      <c r="H88" s="132"/>
      <c r="I88" s="138">
        <f>Juni!M88</f>
        <v>0</v>
      </c>
      <c r="J88" s="134">
        <f>Juni!N88</f>
        <v>0</v>
      </c>
      <c r="K88" s="136"/>
      <c r="L88" s="135"/>
      <c r="M88" s="138"/>
      <c r="N88" s="139"/>
      <c r="O88" s="143"/>
      <c r="P88" s="136"/>
    </row>
    <row r="89" spans="1:16" s="49" customFormat="1" ht="31.5" customHeight="1">
      <c r="A89" s="36">
        <v>2</v>
      </c>
      <c r="B89" s="36">
        <v>14</v>
      </c>
      <c r="C89" s="36">
        <v>2</v>
      </c>
      <c r="D89" s="37"/>
      <c r="E89" s="36"/>
      <c r="F89" s="38" t="s">
        <v>12</v>
      </c>
      <c r="G89" s="46">
        <f>G90+G93</f>
        <v>87702450</v>
      </c>
      <c r="H89" s="40">
        <f>+G89/$G$119*100%</f>
        <v>6.5736847064285855E-3</v>
      </c>
      <c r="I89" s="39">
        <f>Juni!M89</f>
        <v>0</v>
      </c>
      <c r="J89" s="42">
        <f>Juni!N89</f>
        <v>0</v>
      </c>
      <c r="K89" s="46">
        <f>K90</f>
        <v>33228410</v>
      </c>
      <c r="L89" s="43">
        <f t="shared" ref="L89:L94" si="23">K89/G89*100</f>
        <v>37.887664483717387</v>
      </c>
      <c r="M89" s="39">
        <f t="shared" ref="M89:M94" si="24">I89+K89</f>
        <v>33228410</v>
      </c>
      <c r="N89" s="43">
        <f t="shared" ref="N89:N94" si="25">M89/G89*100</f>
        <v>37.887664483717387</v>
      </c>
      <c r="O89" s="44"/>
      <c r="P89" s="39">
        <f t="shared" ref="P89:P103" si="26">G89-M89</f>
        <v>54474040</v>
      </c>
    </row>
    <row r="90" spans="1:16" s="106" customFormat="1" ht="40.5" customHeight="1">
      <c r="A90" s="5">
        <v>2</v>
      </c>
      <c r="B90" s="5">
        <v>14</v>
      </c>
      <c r="C90" s="5">
        <v>2</v>
      </c>
      <c r="D90" s="6" t="s">
        <v>8</v>
      </c>
      <c r="E90" s="5"/>
      <c r="F90" s="7" t="s">
        <v>11</v>
      </c>
      <c r="G90" s="45">
        <f>G91+G92</f>
        <v>77032450</v>
      </c>
      <c r="H90" s="9">
        <f>+G90/$G$119*100%</f>
        <v>5.773921235538171E-3</v>
      </c>
      <c r="I90" s="8">
        <f>Juni!M90</f>
        <v>0</v>
      </c>
      <c r="J90" s="11">
        <f>Juni!N90</f>
        <v>0</v>
      </c>
      <c r="K90" s="45">
        <f>SUM(K91:K92)</f>
        <v>33228410</v>
      </c>
      <c r="L90" s="12">
        <f t="shared" si="23"/>
        <v>43.135600646221171</v>
      </c>
      <c r="M90" s="8">
        <f t="shared" si="24"/>
        <v>33228410</v>
      </c>
      <c r="N90" s="12">
        <f t="shared" si="25"/>
        <v>43.135600646221171</v>
      </c>
      <c r="O90" s="13"/>
      <c r="P90" s="8">
        <f t="shared" si="26"/>
        <v>43804040</v>
      </c>
    </row>
    <row r="91" spans="1:16" s="3" customFormat="1" ht="25.5" customHeight="1">
      <c r="A91" s="214">
        <v>2</v>
      </c>
      <c r="B91" s="214">
        <v>14</v>
      </c>
      <c r="C91" s="214">
        <v>2</v>
      </c>
      <c r="D91" s="215" t="s">
        <v>8</v>
      </c>
      <c r="E91" s="214">
        <v>3</v>
      </c>
      <c r="F91" s="216" t="s">
        <v>89</v>
      </c>
      <c r="G91" s="217">
        <v>30736450</v>
      </c>
      <c r="H91" s="18">
        <f>+G91/$G$119*100%</f>
        <v>2.3038322338190882E-3</v>
      </c>
      <c r="I91" s="21">
        <f>Juni!M91</f>
        <v>0</v>
      </c>
      <c r="J91" s="190">
        <f>Juni!N91</f>
        <v>0</v>
      </c>
      <c r="K91" s="21">
        <f>650000+650000+650000+650000+650000+1365000+1365000+1365000+1365000+1365000</f>
        <v>10075000</v>
      </c>
      <c r="L91" s="20">
        <f t="shared" si="23"/>
        <v>32.778671577231592</v>
      </c>
      <c r="M91" s="21">
        <f t="shared" si="24"/>
        <v>10075000</v>
      </c>
      <c r="N91" s="20">
        <f t="shared" si="25"/>
        <v>32.778671577231592</v>
      </c>
      <c r="O91" s="22"/>
      <c r="P91" s="21">
        <f t="shared" si="26"/>
        <v>20661450</v>
      </c>
    </row>
    <row r="92" spans="1:16" s="3" customFormat="1" ht="47.25" customHeight="1">
      <c r="A92" s="214">
        <v>2</v>
      </c>
      <c r="B92" s="214">
        <v>14</v>
      </c>
      <c r="C92" s="214">
        <v>2</v>
      </c>
      <c r="D92" s="215" t="s">
        <v>8</v>
      </c>
      <c r="E92" s="214">
        <v>7</v>
      </c>
      <c r="F92" s="216" t="s">
        <v>154</v>
      </c>
      <c r="G92" s="217">
        <v>46296000</v>
      </c>
      <c r="H92" s="18">
        <f>+G92/$G$119*100%</f>
        <v>3.4700890017190828E-3</v>
      </c>
      <c r="I92" s="21">
        <f>Juni!M92</f>
        <v>0</v>
      </c>
      <c r="J92" s="190">
        <f>Juni!N92</f>
        <v>0</v>
      </c>
      <c r="K92" s="21">
        <f>5312410+400000+2000000+1350000+3675000+10416000</f>
        <v>23153410</v>
      </c>
      <c r="L92" s="20">
        <f t="shared" si="23"/>
        <v>50.011685674788318</v>
      </c>
      <c r="M92" s="21">
        <f t="shared" si="24"/>
        <v>23153410</v>
      </c>
      <c r="N92" s="20">
        <f t="shared" si="25"/>
        <v>50.011685674788318</v>
      </c>
      <c r="O92" s="22"/>
      <c r="P92" s="21">
        <f t="shared" si="26"/>
        <v>23142590</v>
      </c>
    </row>
    <row r="93" spans="1:16" s="3" customFormat="1" ht="27" customHeight="1">
      <c r="A93" s="5">
        <v>2</v>
      </c>
      <c r="B93" s="5">
        <v>14</v>
      </c>
      <c r="C93" s="5">
        <v>2</v>
      </c>
      <c r="D93" s="6" t="s">
        <v>7</v>
      </c>
      <c r="E93" s="5"/>
      <c r="F93" s="7" t="s">
        <v>156</v>
      </c>
      <c r="G93" s="45">
        <f>G94</f>
        <v>10670000</v>
      </c>
      <c r="H93" s="9">
        <f t="shared" ref="H93:H103" si="27">+G93/$G$119*100%</f>
        <v>7.9976347089041422E-4</v>
      </c>
      <c r="I93" s="8">
        <f>Juni!M93</f>
        <v>0</v>
      </c>
      <c r="J93" s="11">
        <f>Juni!N93</f>
        <v>0</v>
      </c>
      <c r="K93" s="45">
        <f>K94</f>
        <v>0</v>
      </c>
      <c r="L93" s="108">
        <f t="shared" si="23"/>
        <v>0</v>
      </c>
      <c r="M93" s="8">
        <f t="shared" si="24"/>
        <v>0</v>
      </c>
      <c r="N93" s="12">
        <f t="shared" si="25"/>
        <v>0</v>
      </c>
      <c r="O93" s="13"/>
      <c r="P93" s="8">
        <f t="shared" si="26"/>
        <v>10670000</v>
      </c>
    </row>
    <row r="94" spans="1:16" s="3" customFormat="1" ht="29.25" customHeight="1">
      <c r="A94" s="214">
        <v>2</v>
      </c>
      <c r="B94" s="214">
        <v>14</v>
      </c>
      <c r="C94" s="214">
        <v>2</v>
      </c>
      <c r="D94" s="215" t="s">
        <v>7</v>
      </c>
      <c r="E94" s="214">
        <v>2</v>
      </c>
      <c r="F94" s="216" t="s">
        <v>155</v>
      </c>
      <c r="G94" s="217">
        <v>10670000</v>
      </c>
      <c r="H94" s="18">
        <f t="shared" si="27"/>
        <v>7.9976347089041422E-4</v>
      </c>
      <c r="I94" s="30">
        <f>Juni!M94</f>
        <v>0</v>
      </c>
      <c r="J94" s="28">
        <f>Juni!N94</f>
        <v>0</v>
      </c>
      <c r="K94" s="21">
        <v>0</v>
      </c>
      <c r="L94" s="20">
        <f t="shared" si="23"/>
        <v>0</v>
      </c>
      <c r="M94" s="30">
        <f t="shared" si="24"/>
        <v>0</v>
      </c>
      <c r="N94" s="29">
        <f t="shared" si="25"/>
        <v>0</v>
      </c>
      <c r="O94" s="22"/>
      <c r="P94" s="21">
        <f t="shared" si="26"/>
        <v>10670000</v>
      </c>
    </row>
    <row r="95" spans="1:16" s="49" customFormat="1" ht="26.25" customHeight="1">
      <c r="A95" s="36">
        <v>2</v>
      </c>
      <c r="B95" s="36">
        <v>14</v>
      </c>
      <c r="C95" s="36">
        <v>3</v>
      </c>
      <c r="D95" s="37"/>
      <c r="E95" s="36"/>
      <c r="F95" s="38" t="s">
        <v>10</v>
      </c>
      <c r="G95" s="46">
        <f>G96</f>
        <v>17599000</v>
      </c>
      <c r="H95" s="40">
        <f t="shared" si="27"/>
        <v>1.319122523355239E-3</v>
      </c>
      <c r="I95" s="39">
        <f>Juni!M95</f>
        <v>0</v>
      </c>
      <c r="J95" s="42">
        <f>Juni!N95</f>
        <v>0</v>
      </c>
      <c r="K95" s="46">
        <f>K96</f>
        <v>0</v>
      </c>
      <c r="L95" s="109">
        <f t="shared" ref="L95:L103" si="28">K95/G95*100</f>
        <v>0</v>
      </c>
      <c r="M95" s="39">
        <f t="shared" ref="M95:M103" si="29">I95+K95</f>
        <v>0</v>
      </c>
      <c r="N95" s="43">
        <f t="shared" ref="N95:N103" si="30">M95/G95*100</f>
        <v>0</v>
      </c>
      <c r="O95" s="44"/>
      <c r="P95" s="39">
        <f t="shared" si="26"/>
        <v>17599000</v>
      </c>
    </row>
    <row r="96" spans="1:16" s="106" customFormat="1" ht="42.75" customHeight="1">
      <c r="A96" s="5">
        <v>2</v>
      </c>
      <c r="B96" s="5">
        <v>14</v>
      </c>
      <c r="C96" s="5">
        <v>3</v>
      </c>
      <c r="D96" s="6" t="s">
        <v>7</v>
      </c>
      <c r="E96" s="5"/>
      <c r="F96" s="167" t="s">
        <v>128</v>
      </c>
      <c r="G96" s="45">
        <f>G97</f>
        <v>17599000</v>
      </c>
      <c r="H96" s="9">
        <f t="shared" si="27"/>
        <v>1.319122523355239E-3</v>
      </c>
      <c r="I96" s="8">
        <f>Juni!M96</f>
        <v>0</v>
      </c>
      <c r="J96" s="11">
        <f>Juni!N96</f>
        <v>0</v>
      </c>
      <c r="K96" s="45">
        <f>K97</f>
        <v>0</v>
      </c>
      <c r="L96" s="108">
        <f t="shared" si="28"/>
        <v>0</v>
      </c>
      <c r="M96" s="8">
        <f t="shared" si="29"/>
        <v>0</v>
      </c>
      <c r="N96" s="12">
        <f t="shared" si="30"/>
        <v>0</v>
      </c>
      <c r="O96" s="13"/>
      <c r="P96" s="8">
        <f t="shared" si="26"/>
        <v>17599000</v>
      </c>
    </row>
    <row r="97" spans="1:16" s="3" customFormat="1" ht="38.25" customHeight="1">
      <c r="A97" s="214">
        <v>2</v>
      </c>
      <c r="B97" s="214">
        <v>14</v>
      </c>
      <c r="C97" s="214">
        <v>3</v>
      </c>
      <c r="D97" s="215" t="s">
        <v>7</v>
      </c>
      <c r="E97" s="214">
        <v>2</v>
      </c>
      <c r="F97" s="218" t="s">
        <v>157</v>
      </c>
      <c r="G97" s="217">
        <v>17599000</v>
      </c>
      <c r="H97" s="18">
        <f t="shared" si="27"/>
        <v>1.319122523355239E-3</v>
      </c>
      <c r="I97" s="21">
        <f>Juni!M97</f>
        <v>0</v>
      </c>
      <c r="J97" s="190">
        <f>Juni!N97</f>
        <v>0</v>
      </c>
      <c r="K97" s="21">
        <v>0</v>
      </c>
      <c r="L97" s="20">
        <f t="shared" si="28"/>
        <v>0</v>
      </c>
      <c r="M97" s="30">
        <f t="shared" si="29"/>
        <v>0</v>
      </c>
      <c r="N97" s="29">
        <f t="shared" si="30"/>
        <v>0</v>
      </c>
      <c r="O97" s="22"/>
      <c r="P97" s="21">
        <f t="shared" si="26"/>
        <v>17599000</v>
      </c>
    </row>
    <row r="98" spans="1:16" s="49" customFormat="1" ht="26.25" customHeight="1">
      <c r="A98" s="36">
        <v>2</v>
      </c>
      <c r="B98" s="36">
        <v>14</v>
      </c>
      <c r="C98" s="36">
        <v>4</v>
      </c>
      <c r="D98" s="37"/>
      <c r="E98" s="36"/>
      <c r="F98" s="38" t="s">
        <v>9</v>
      </c>
      <c r="G98" s="46">
        <f>G99+G102</f>
        <v>514414000</v>
      </c>
      <c r="H98" s="40">
        <f t="shared" si="27"/>
        <v>3.8557593825175401E-2</v>
      </c>
      <c r="I98" s="39">
        <f>Juni!M98</f>
        <v>0</v>
      </c>
      <c r="J98" s="42">
        <f>Juni!N98</f>
        <v>0</v>
      </c>
      <c r="K98" s="46">
        <f>K99+K102</f>
        <v>31000000</v>
      </c>
      <c r="L98" s="43">
        <f t="shared" si="28"/>
        <v>6.0262745570688194</v>
      </c>
      <c r="M98" s="39">
        <f t="shared" si="29"/>
        <v>31000000</v>
      </c>
      <c r="N98" s="43">
        <f t="shared" si="30"/>
        <v>6.0262745570688194</v>
      </c>
      <c r="O98" s="48"/>
      <c r="P98" s="39">
        <f t="shared" si="26"/>
        <v>483414000</v>
      </c>
    </row>
    <row r="99" spans="1:16" s="106" customFormat="1" ht="40.5" customHeight="1">
      <c r="A99" s="5">
        <v>2</v>
      </c>
      <c r="B99" s="5">
        <v>14</v>
      </c>
      <c r="C99" s="5">
        <v>4</v>
      </c>
      <c r="D99" s="6" t="s">
        <v>8</v>
      </c>
      <c r="E99" s="5"/>
      <c r="F99" s="7" t="s">
        <v>90</v>
      </c>
      <c r="G99" s="45">
        <f>G100+G101</f>
        <v>514414000</v>
      </c>
      <c r="H99" s="9">
        <f t="shared" si="27"/>
        <v>3.8557593825175401E-2</v>
      </c>
      <c r="I99" s="8">
        <f>Juni!M99</f>
        <v>0</v>
      </c>
      <c r="J99" s="11">
        <f>Juni!N99</f>
        <v>0</v>
      </c>
      <c r="K99" s="45">
        <f>SUM(K100:K101)</f>
        <v>31000000</v>
      </c>
      <c r="L99" s="12">
        <f t="shared" si="28"/>
        <v>6.0262745570688194</v>
      </c>
      <c r="M99" s="8">
        <f t="shared" si="29"/>
        <v>31000000</v>
      </c>
      <c r="N99" s="12">
        <f t="shared" si="30"/>
        <v>6.0262745570688194</v>
      </c>
      <c r="O99" s="27"/>
      <c r="P99" s="8">
        <f t="shared" si="26"/>
        <v>483414000</v>
      </c>
    </row>
    <row r="100" spans="1:16" s="3" customFormat="1" ht="35.25" customHeight="1">
      <c r="A100" s="214">
        <v>2</v>
      </c>
      <c r="B100" s="214">
        <v>14</v>
      </c>
      <c r="C100" s="214">
        <v>4</v>
      </c>
      <c r="D100" s="215" t="s">
        <v>8</v>
      </c>
      <c r="E100" s="214">
        <v>17</v>
      </c>
      <c r="F100" s="218" t="s">
        <v>129</v>
      </c>
      <c r="G100" s="217">
        <v>290000000</v>
      </c>
      <c r="H100" s="18">
        <f t="shared" si="27"/>
        <v>2.1736776622138718E-2</v>
      </c>
      <c r="I100" s="21">
        <f>Juni!M100</f>
        <v>0</v>
      </c>
      <c r="J100" s="190">
        <f>Juni!N100</f>
        <v>0</v>
      </c>
      <c r="K100" s="21">
        <v>0</v>
      </c>
      <c r="L100" s="20">
        <f t="shared" si="28"/>
        <v>0</v>
      </c>
      <c r="M100" s="30">
        <f t="shared" si="29"/>
        <v>0</v>
      </c>
      <c r="N100" s="29">
        <f t="shared" si="30"/>
        <v>0</v>
      </c>
      <c r="O100" s="23"/>
      <c r="P100" s="21">
        <f t="shared" si="26"/>
        <v>290000000</v>
      </c>
    </row>
    <row r="101" spans="1:16" s="3" customFormat="1" ht="28.5" customHeight="1">
      <c r="A101" s="214">
        <v>2</v>
      </c>
      <c r="B101" s="214">
        <v>14</v>
      </c>
      <c r="C101" s="214">
        <v>4</v>
      </c>
      <c r="D101" s="215" t="s">
        <v>8</v>
      </c>
      <c r="E101" s="214">
        <v>19</v>
      </c>
      <c r="F101" s="218" t="s">
        <v>158</v>
      </c>
      <c r="G101" s="217">
        <v>224414000</v>
      </c>
      <c r="H101" s="18">
        <f t="shared" si="27"/>
        <v>1.6820817203036683E-2</v>
      </c>
      <c r="I101" s="21">
        <f>Juni!M101</f>
        <v>0</v>
      </c>
      <c r="J101" s="190">
        <f>Juni!N101</f>
        <v>0</v>
      </c>
      <c r="K101" s="21">
        <f>6000000+7500000+7500000+2500000+2500000+2500000+2500000</f>
        <v>31000000</v>
      </c>
      <c r="L101" s="20">
        <f t="shared" si="28"/>
        <v>13.813754935075352</v>
      </c>
      <c r="M101" s="21">
        <f t="shared" ref="M101" si="31">I101+K101</f>
        <v>31000000</v>
      </c>
      <c r="N101" s="20">
        <f t="shared" ref="N101" si="32">M101/G101*100</f>
        <v>13.813754935075352</v>
      </c>
      <c r="O101" s="23"/>
      <c r="P101" s="21">
        <f t="shared" si="26"/>
        <v>193414000</v>
      </c>
    </row>
    <row r="102" spans="1:16" s="106" customFormat="1" ht="47.25" customHeight="1">
      <c r="A102" s="5">
        <v>2</v>
      </c>
      <c r="B102" s="5">
        <v>14</v>
      </c>
      <c r="C102" s="5">
        <v>4</v>
      </c>
      <c r="D102" s="6" t="s">
        <v>7</v>
      </c>
      <c r="E102" s="5"/>
      <c r="F102" s="7" t="s">
        <v>6</v>
      </c>
      <c r="G102" s="26">
        <f>G103</f>
        <v>0</v>
      </c>
      <c r="H102" s="9">
        <f t="shared" si="27"/>
        <v>0</v>
      </c>
      <c r="I102" s="8">
        <f>Juni!M102</f>
        <v>0</v>
      </c>
      <c r="J102" s="11" t="e">
        <f>Juni!N102</f>
        <v>#DIV/0!</v>
      </c>
      <c r="K102" s="26">
        <f>K103</f>
        <v>0</v>
      </c>
      <c r="L102" s="108" t="e">
        <f t="shared" si="28"/>
        <v>#DIV/0!</v>
      </c>
      <c r="M102" s="8">
        <f t="shared" si="29"/>
        <v>0</v>
      </c>
      <c r="N102" s="12" t="e">
        <f t="shared" si="30"/>
        <v>#DIV/0!</v>
      </c>
      <c r="O102" s="27"/>
      <c r="P102" s="8">
        <f t="shared" si="26"/>
        <v>0</v>
      </c>
    </row>
    <row r="103" spans="1:16" s="3" customFormat="1" ht="60.75" customHeight="1">
      <c r="A103" s="214">
        <v>2</v>
      </c>
      <c r="B103" s="214">
        <v>14</v>
      </c>
      <c r="C103" s="214">
        <v>4</v>
      </c>
      <c r="D103" s="215" t="s">
        <v>7</v>
      </c>
      <c r="E103" s="214">
        <v>8</v>
      </c>
      <c r="F103" s="218" t="s">
        <v>130</v>
      </c>
      <c r="G103" s="219">
        <v>0</v>
      </c>
      <c r="H103" s="18">
        <f t="shared" si="27"/>
        <v>0</v>
      </c>
      <c r="I103" s="21">
        <f>Juni!M103</f>
        <v>0</v>
      </c>
      <c r="J103" s="190" t="e">
        <f>Juni!N103</f>
        <v>#DIV/0!</v>
      </c>
      <c r="K103" s="21">
        <v>0</v>
      </c>
      <c r="L103" s="20" t="e">
        <f t="shared" si="28"/>
        <v>#DIV/0!</v>
      </c>
      <c r="M103" s="30">
        <f t="shared" si="29"/>
        <v>0</v>
      </c>
      <c r="N103" s="20" t="e">
        <f t="shared" si="30"/>
        <v>#DIV/0!</v>
      </c>
      <c r="O103" s="23"/>
      <c r="P103" s="21">
        <f t="shared" si="26"/>
        <v>0</v>
      </c>
    </row>
    <row r="104" spans="1:16" s="3" customFormat="1" ht="31.5" customHeight="1">
      <c r="A104" s="130"/>
      <c r="B104" s="130"/>
      <c r="C104" s="130"/>
      <c r="D104" s="131"/>
      <c r="E104" s="130"/>
      <c r="F104" s="141" t="s">
        <v>101</v>
      </c>
      <c r="G104" s="142">
        <f>G105+G113+G116</f>
        <v>2677601700</v>
      </c>
      <c r="H104" s="132"/>
      <c r="I104" s="138">
        <f>Juni!M104</f>
        <v>0</v>
      </c>
      <c r="J104" s="134">
        <f>Juni!N104</f>
        <v>0</v>
      </c>
      <c r="K104" s="136"/>
      <c r="L104" s="135"/>
      <c r="M104" s="138"/>
      <c r="N104" s="139"/>
      <c r="O104" s="137"/>
      <c r="P104" s="136"/>
    </row>
    <row r="105" spans="1:16" s="49" customFormat="1" ht="27.75" customHeight="1">
      <c r="A105" s="36">
        <v>2</v>
      </c>
      <c r="B105" s="36">
        <v>8</v>
      </c>
      <c r="C105" s="36">
        <v>1</v>
      </c>
      <c r="D105" s="37"/>
      <c r="E105" s="36"/>
      <c r="F105" s="38" t="s">
        <v>5</v>
      </c>
      <c r="G105" s="46">
        <f>G106+G110</f>
        <v>317209700</v>
      </c>
      <c r="H105" s="40">
        <f>+G105/$G$119*100%</f>
        <v>2.3776263418191848E-2</v>
      </c>
      <c r="I105" s="39">
        <f>Juni!M105</f>
        <v>149733750</v>
      </c>
      <c r="J105" s="42">
        <f>Juni!N105</f>
        <v>47.203395734745818</v>
      </c>
      <c r="K105" s="46">
        <f>K106+K110</f>
        <v>29036000</v>
      </c>
      <c r="L105" s="43">
        <f>K105/G105*100</f>
        <v>9.1535662370980457</v>
      </c>
      <c r="M105" s="39">
        <f>I105+K105</f>
        <v>178769750</v>
      </c>
      <c r="N105" s="43">
        <f>M105/G105*100</f>
        <v>56.356961971843866</v>
      </c>
      <c r="O105" s="44"/>
      <c r="P105" s="39">
        <f t="shared" ref="P105:P118" si="33">G105-M105</f>
        <v>138439950</v>
      </c>
    </row>
    <row r="106" spans="1:16" s="106" customFormat="1" ht="27.75" customHeight="1">
      <c r="A106" s="5">
        <v>2</v>
      </c>
      <c r="B106" s="5">
        <v>8</v>
      </c>
      <c r="C106" s="5">
        <v>1</v>
      </c>
      <c r="D106" s="6" t="s">
        <v>24</v>
      </c>
      <c r="E106" s="5"/>
      <c r="F106" s="7" t="s">
        <v>4</v>
      </c>
      <c r="G106" s="45">
        <f>SUM(G107:G109)</f>
        <v>11797700</v>
      </c>
      <c r="H106" s="9">
        <f>+G106/$G$119*100%</f>
        <v>8.8428955018967563E-4</v>
      </c>
      <c r="I106" s="8">
        <f>Juni!M106</f>
        <v>1182100</v>
      </c>
      <c r="J106" s="11">
        <f>Juni!N106</f>
        <v>10.01974961221255</v>
      </c>
      <c r="K106" s="45">
        <f>K108+K109</f>
        <v>2997100</v>
      </c>
      <c r="L106" s="12">
        <f>K106/G106*100</f>
        <v>25.40410418979971</v>
      </c>
      <c r="M106" s="8">
        <f>I106+K106</f>
        <v>4179200</v>
      </c>
      <c r="N106" s="12">
        <f>M106/G106*100</f>
        <v>35.423853802012253</v>
      </c>
      <c r="O106" s="27"/>
      <c r="P106" s="8">
        <f t="shared" si="33"/>
        <v>7618500</v>
      </c>
    </row>
    <row r="107" spans="1:16" s="106" customFormat="1" ht="27.75" customHeight="1">
      <c r="A107" s="14">
        <v>2</v>
      </c>
      <c r="B107" s="14">
        <v>8</v>
      </c>
      <c r="C107" s="14">
        <v>1</v>
      </c>
      <c r="D107" s="15" t="s">
        <v>24</v>
      </c>
      <c r="E107" s="14">
        <v>1</v>
      </c>
      <c r="F107" s="16" t="s">
        <v>60</v>
      </c>
      <c r="G107" s="17">
        <v>1706000</v>
      </c>
      <c r="H107" s="18">
        <f>+G107/$G$119*100%</f>
        <v>1.2787221005989191E-4</v>
      </c>
      <c r="I107" s="21">
        <f>Juni!M107</f>
        <v>0</v>
      </c>
      <c r="J107" s="190">
        <f>Juni!N107</f>
        <v>0</v>
      </c>
      <c r="K107" s="21"/>
      <c r="L107" s="20">
        <f>K107/G107*100</f>
        <v>0</v>
      </c>
      <c r="M107" s="30">
        <f>I107+K107</f>
        <v>0</v>
      </c>
      <c r="N107" s="29">
        <f>M107/G107*100</f>
        <v>0</v>
      </c>
      <c r="O107" s="23"/>
      <c r="P107" s="21">
        <f t="shared" si="33"/>
        <v>1706000</v>
      </c>
    </row>
    <row r="108" spans="1:16" s="3" customFormat="1" ht="27.75" customHeight="1">
      <c r="A108" s="14">
        <v>2</v>
      </c>
      <c r="B108" s="14">
        <v>8</v>
      </c>
      <c r="C108" s="14">
        <v>1</v>
      </c>
      <c r="D108" s="15" t="s">
        <v>24</v>
      </c>
      <c r="E108" s="14">
        <v>2</v>
      </c>
      <c r="F108" s="16" t="s">
        <v>61</v>
      </c>
      <c r="G108" s="17">
        <v>8794500</v>
      </c>
      <c r="H108" s="18">
        <f>+G108/$G$119*100%</f>
        <v>6.5918648966689294E-4</v>
      </c>
      <c r="I108" s="21">
        <f>Juni!M108</f>
        <v>878500</v>
      </c>
      <c r="J108" s="190">
        <f>Juni!N108</f>
        <v>9.9891977940758423</v>
      </c>
      <c r="K108" s="21">
        <f>224000+80000+96000+35000+72000+53000+105000+157600+336000+224000+240000+246000+140000</f>
        <v>2008600</v>
      </c>
      <c r="L108" s="20">
        <f>K108/G108*100</f>
        <v>22.839274546591621</v>
      </c>
      <c r="M108" s="21">
        <f>I108+K108</f>
        <v>2887100</v>
      </c>
      <c r="N108" s="20">
        <f>M108/G108*100</f>
        <v>32.828472340667467</v>
      </c>
      <c r="O108" s="23"/>
      <c r="P108" s="21">
        <f t="shared" si="33"/>
        <v>5907400</v>
      </c>
    </row>
    <row r="109" spans="1:16" s="3" customFormat="1" ht="27.75" customHeight="1">
      <c r="A109" s="14">
        <v>2</v>
      </c>
      <c r="B109" s="14">
        <v>8</v>
      </c>
      <c r="C109" s="14">
        <v>1</v>
      </c>
      <c r="D109" s="15" t="s">
        <v>24</v>
      </c>
      <c r="E109" s="14">
        <v>5</v>
      </c>
      <c r="F109" s="16" t="s">
        <v>62</v>
      </c>
      <c r="G109" s="17">
        <v>1297200</v>
      </c>
      <c r="H109" s="18">
        <f>+G109/$G$119*100%</f>
        <v>9.7230850462890842E-5</v>
      </c>
      <c r="I109" s="21">
        <f>Juni!M109</f>
        <v>303600</v>
      </c>
      <c r="J109" s="190">
        <f>Juni!N109</f>
        <v>23.404255319148938</v>
      </c>
      <c r="K109" s="21">
        <f>150000+246000+123000+300000+169500</f>
        <v>988500</v>
      </c>
      <c r="L109" s="20">
        <f>K109/G109*100</f>
        <v>76.202590194264573</v>
      </c>
      <c r="M109" s="21">
        <f>I109+K109</f>
        <v>1292100</v>
      </c>
      <c r="N109" s="20">
        <f>M109/G109*100</f>
        <v>99.606845513413518</v>
      </c>
      <c r="O109" s="23"/>
      <c r="P109" s="21">
        <f>G109-M109</f>
        <v>5100</v>
      </c>
    </row>
    <row r="110" spans="1:16" s="106" customFormat="1" ht="27.75" customHeight="1">
      <c r="A110" s="5">
        <v>2</v>
      </c>
      <c r="B110" s="5">
        <v>8</v>
      </c>
      <c r="C110" s="5">
        <v>1</v>
      </c>
      <c r="D110" s="6" t="s">
        <v>23</v>
      </c>
      <c r="E110" s="5"/>
      <c r="F110" s="7" t="s">
        <v>3</v>
      </c>
      <c r="G110" s="45">
        <f>G111+G112</f>
        <v>305412000</v>
      </c>
      <c r="H110" s="9">
        <f t="shared" ref="H110:H119" si="34">+G110/$G$119*100%</f>
        <v>2.2891973868002173E-2</v>
      </c>
      <c r="I110" s="8">
        <f>Juni!M110</f>
        <v>148551650</v>
      </c>
      <c r="J110" s="11">
        <f>Juni!N110</f>
        <v>48.639755477846322</v>
      </c>
      <c r="K110" s="45">
        <f>K111+K112</f>
        <v>26038900</v>
      </c>
      <c r="L110" s="12">
        <f t="shared" ref="L110:L119" si="35">K110/G110*100</f>
        <v>8.5258274069126294</v>
      </c>
      <c r="M110" s="8">
        <f t="shared" ref="M110:M118" si="36">I110+K110</f>
        <v>174590550</v>
      </c>
      <c r="N110" s="12">
        <f t="shared" ref="N110:N119" si="37">M110/G110*100</f>
        <v>57.165582884758948</v>
      </c>
      <c r="O110" s="13"/>
      <c r="P110" s="8">
        <f t="shared" si="33"/>
        <v>130821450</v>
      </c>
    </row>
    <row r="111" spans="1:16" s="3" customFormat="1" ht="27.75" customHeight="1">
      <c r="A111" s="14">
        <v>2</v>
      </c>
      <c r="B111" s="14">
        <v>8</v>
      </c>
      <c r="C111" s="14">
        <v>1</v>
      </c>
      <c r="D111" s="15" t="s">
        <v>23</v>
      </c>
      <c r="E111" s="14">
        <v>2</v>
      </c>
      <c r="F111" s="16" t="s">
        <v>87</v>
      </c>
      <c r="G111" s="17">
        <v>22020000</v>
      </c>
      <c r="H111" s="18">
        <f t="shared" si="34"/>
        <v>1.6504959352396365E-3</v>
      </c>
      <c r="I111" s="21">
        <f>Juni!M111</f>
        <v>7422650</v>
      </c>
      <c r="J111" s="190">
        <f>Juni!N111</f>
        <v>33.708673932788372</v>
      </c>
      <c r="K111" s="24">
        <f>502653+344880+36300+36300+837600+414787+344880</f>
        <v>2517400</v>
      </c>
      <c r="L111" s="20">
        <f t="shared" si="35"/>
        <v>11.432334241598546</v>
      </c>
      <c r="M111" s="21">
        <f t="shared" si="36"/>
        <v>9940050</v>
      </c>
      <c r="N111" s="20">
        <f t="shared" si="37"/>
        <v>45.141008174386918</v>
      </c>
      <c r="O111" s="22"/>
      <c r="P111" s="21">
        <f t="shared" si="33"/>
        <v>12079950</v>
      </c>
    </row>
    <row r="112" spans="1:16" s="3" customFormat="1" ht="27.75" customHeight="1">
      <c r="A112" s="14">
        <v>2</v>
      </c>
      <c r="B112" s="14">
        <v>8</v>
      </c>
      <c r="C112" s="14">
        <v>1</v>
      </c>
      <c r="D112" s="15" t="s">
        <v>23</v>
      </c>
      <c r="E112" s="14">
        <v>4</v>
      </c>
      <c r="F112" s="16" t="s">
        <v>68</v>
      </c>
      <c r="G112" s="17">
        <v>283392000</v>
      </c>
      <c r="H112" s="18">
        <f t="shared" si="34"/>
        <v>2.1241477932762536E-2</v>
      </c>
      <c r="I112" s="21">
        <f>Juni!M112</f>
        <v>141129000</v>
      </c>
      <c r="J112" s="190">
        <f>Juni!N112</f>
        <v>49.799923780487802</v>
      </c>
      <c r="K112" s="21">
        <f>23400000+121500</f>
        <v>23521500</v>
      </c>
      <c r="L112" s="20">
        <f t="shared" si="35"/>
        <v>8.2999872967479664</v>
      </c>
      <c r="M112" s="21">
        <f t="shared" si="36"/>
        <v>164650500</v>
      </c>
      <c r="N112" s="20">
        <f t="shared" si="37"/>
        <v>58.099911077235774</v>
      </c>
      <c r="O112" s="22"/>
      <c r="P112" s="21">
        <f t="shared" si="33"/>
        <v>118741500</v>
      </c>
    </row>
    <row r="113" spans="1:16" s="49" customFormat="1" ht="27.75" customHeight="1">
      <c r="A113" s="36">
        <v>2</v>
      </c>
      <c r="B113" s="36">
        <v>8</v>
      </c>
      <c r="C113" s="36">
        <v>3</v>
      </c>
      <c r="D113" s="37"/>
      <c r="E113" s="36"/>
      <c r="F113" s="38" t="s">
        <v>91</v>
      </c>
      <c r="G113" s="46">
        <f>G114</f>
        <v>2177844000</v>
      </c>
      <c r="H113" s="40">
        <f t="shared" si="34"/>
        <v>0.16323899498574163</v>
      </c>
      <c r="I113" s="39">
        <f>Juni!M113</f>
        <v>16026856</v>
      </c>
      <c r="J113" s="42">
        <f>Juni!N113</f>
        <v>0.73590468371471973</v>
      </c>
      <c r="K113" s="46">
        <f>K114</f>
        <v>26979247</v>
      </c>
      <c r="L113" s="43">
        <f t="shared" si="35"/>
        <v>1.2388053046958367</v>
      </c>
      <c r="M113" s="39">
        <f t="shared" si="36"/>
        <v>43006103</v>
      </c>
      <c r="N113" s="43">
        <f t="shared" si="37"/>
        <v>1.9747099884105563</v>
      </c>
      <c r="O113" s="44"/>
      <c r="P113" s="39">
        <f t="shared" si="33"/>
        <v>2134837897</v>
      </c>
    </row>
    <row r="114" spans="1:16" s="106" customFormat="1" ht="40.5" customHeight="1">
      <c r="A114" s="5">
        <v>2</v>
      </c>
      <c r="B114" s="5">
        <v>8</v>
      </c>
      <c r="C114" s="5">
        <v>3</v>
      </c>
      <c r="D114" s="6" t="s">
        <v>7</v>
      </c>
      <c r="E114" s="5"/>
      <c r="F114" s="7" t="s">
        <v>47</v>
      </c>
      <c r="G114" s="45">
        <f>G115</f>
        <v>2177844000</v>
      </c>
      <c r="H114" s="9">
        <f t="shared" si="34"/>
        <v>0.16323899498574163</v>
      </c>
      <c r="I114" s="8">
        <f>Juni!M114</f>
        <v>16026856</v>
      </c>
      <c r="J114" s="11">
        <f>Juni!N114</f>
        <v>0.73590468371471973</v>
      </c>
      <c r="K114" s="45">
        <f>K115</f>
        <v>26979247</v>
      </c>
      <c r="L114" s="12">
        <f t="shared" si="35"/>
        <v>1.2388053046958367</v>
      </c>
      <c r="M114" s="8">
        <f t="shared" si="36"/>
        <v>43006103</v>
      </c>
      <c r="N114" s="12">
        <f t="shared" si="37"/>
        <v>1.9747099884105563</v>
      </c>
      <c r="O114" s="13"/>
      <c r="P114" s="8">
        <f t="shared" si="33"/>
        <v>2134837897</v>
      </c>
    </row>
    <row r="115" spans="1:16" s="3" customFormat="1" ht="36" customHeight="1">
      <c r="A115" s="14">
        <v>2</v>
      </c>
      <c r="B115" s="14">
        <v>8</v>
      </c>
      <c r="C115" s="14">
        <v>3</v>
      </c>
      <c r="D115" s="15" t="s">
        <v>7</v>
      </c>
      <c r="E115" s="14">
        <v>2</v>
      </c>
      <c r="F115" s="16" t="s">
        <v>74</v>
      </c>
      <c r="G115" s="17">
        <v>2177844000</v>
      </c>
      <c r="H115" s="18">
        <f t="shared" si="34"/>
        <v>0.16323899498574163</v>
      </c>
      <c r="I115" s="21">
        <f>Juni!M115</f>
        <v>16026856</v>
      </c>
      <c r="J115" s="190">
        <f>Juni!N115</f>
        <v>0.73590468371471973</v>
      </c>
      <c r="K115" s="21">
        <f>400000+250000+1400000+1212500+1400000+1100000+11723747+7933000+270000+90000+900000+300000</f>
        <v>26979247</v>
      </c>
      <c r="L115" s="20">
        <f t="shared" si="35"/>
        <v>1.2388053046958367</v>
      </c>
      <c r="M115" s="21">
        <f t="shared" si="36"/>
        <v>43006103</v>
      </c>
      <c r="N115" s="20">
        <f t="shared" si="37"/>
        <v>1.9747099884105563</v>
      </c>
      <c r="O115" s="22"/>
      <c r="P115" s="21">
        <f t="shared" si="33"/>
        <v>2134837897</v>
      </c>
    </row>
    <row r="116" spans="1:16" s="49" customFormat="1" ht="26.25" customHeight="1">
      <c r="A116" s="36">
        <v>2</v>
      </c>
      <c r="B116" s="36">
        <v>8</v>
      </c>
      <c r="C116" s="36">
        <v>7</v>
      </c>
      <c r="D116" s="37"/>
      <c r="E116" s="36"/>
      <c r="F116" s="38" t="s">
        <v>92</v>
      </c>
      <c r="G116" s="46">
        <f>G117</f>
        <v>182548000</v>
      </c>
      <c r="H116" s="40">
        <f t="shared" si="34"/>
        <v>1.3682776202821306E-2</v>
      </c>
      <c r="I116" s="39">
        <f>Juni!M116</f>
        <v>11682000</v>
      </c>
      <c r="J116" s="42">
        <f>Juni!N116</f>
        <v>6.3994127571926285</v>
      </c>
      <c r="K116" s="46">
        <f>K117</f>
        <v>33625684</v>
      </c>
      <c r="L116" s="43">
        <f t="shared" si="35"/>
        <v>18.420187567105639</v>
      </c>
      <c r="M116" s="39">
        <f t="shared" si="36"/>
        <v>45307684</v>
      </c>
      <c r="N116" s="43">
        <f t="shared" si="37"/>
        <v>24.819600324298268</v>
      </c>
      <c r="O116" s="44"/>
      <c r="P116" s="39">
        <f t="shared" si="33"/>
        <v>137240316</v>
      </c>
    </row>
    <row r="117" spans="1:16" s="106" customFormat="1" ht="40.5" customHeight="1">
      <c r="A117" s="5">
        <v>2</v>
      </c>
      <c r="B117" s="5">
        <v>8</v>
      </c>
      <c r="C117" s="5">
        <v>7</v>
      </c>
      <c r="D117" s="6" t="s">
        <v>7</v>
      </c>
      <c r="E117" s="5"/>
      <c r="F117" s="7" t="s">
        <v>1</v>
      </c>
      <c r="G117" s="45">
        <f>G118</f>
        <v>182548000</v>
      </c>
      <c r="H117" s="9">
        <f t="shared" si="34"/>
        <v>1.3682776202821306E-2</v>
      </c>
      <c r="I117" s="8">
        <f>Juni!M117</f>
        <v>11682000</v>
      </c>
      <c r="J117" s="11">
        <f>Juni!N117</f>
        <v>6.3994127571926285</v>
      </c>
      <c r="K117" s="45">
        <f>K118</f>
        <v>33625684</v>
      </c>
      <c r="L117" s="12">
        <f t="shared" si="35"/>
        <v>18.420187567105639</v>
      </c>
      <c r="M117" s="8">
        <f t="shared" si="36"/>
        <v>45307684</v>
      </c>
      <c r="N117" s="12">
        <f t="shared" si="37"/>
        <v>24.819600324298268</v>
      </c>
      <c r="O117" s="13"/>
      <c r="P117" s="8">
        <f t="shared" si="33"/>
        <v>137240316</v>
      </c>
    </row>
    <row r="118" spans="1:16" s="3" customFormat="1" ht="30" customHeight="1">
      <c r="A118" s="14">
        <v>2</v>
      </c>
      <c r="B118" s="14">
        <v>8</v>
      </c>
      <c r="C118" s="14">
        <v>7</v>
      </c>
      <c r="D118" s="15" t="s">
        <v>7</v>
      </c>
      <c r="E118" s="14">
        <v>7</v>
      </c>
      <c r="F118" s="166" t="s">
        <v>127</v>
      </c>
      <c r="G118" s="17">
        <v>182548000</v>
      </c>
      <c r="H118" s="18">
        <f t="shared" si="34"/>
        <v>1.3682776202821306E-2</v>
      </c>
      <c r="I118" s="21">
        <f>Juni!M118</f>
        <v>11682000</v>
      </c>
      <c r="J118" s="190">
        <f>Juni!N118</f>
        <v>6.3994127571926285</v>
      </c>
      <c r="K118" s="21">
        <f>1100000+1500000+800000+675000+10410000+8127084+375000+10638600</f>
        <v>33625684</v>
      </c>
      <c r="L118" s="20">
        <f t="shared" si="35"/>
        <v>18.420187567105639</v>
      </c>
      <c r="M118" s="21">
        <f t="shared" si="36"/>
        <v>45307684</v>
      </c>
      <c r="N118" s="20">
        <f t="shared" si="37"/>
        <v>24.819600324298268</v>
      </c>
      <c r="O118" s="22"/>
      <c r="P118" s="21">
        <f t="shared" si="33"/>
        <v>137240316</v>
      </c>
    </row>
    <row r="119" spans="1:16" s="58" customFormat="1" ht="22.5" customHeight="1">
      <c r="A119" s="50"/>
      <c r="B119" s="50"/>
      <c r="C119" s="50"/>
      <c r="D119" s="51"/>
      <c r="E119" s="52"/>
      <c r="F119" s="53" t="s">
        <v>48</v>
      </c>
      <c r="G119" s="54">
        <f>G16+G55+G61+G67+G72+G76+G83+G89+G95+G98+G105+G113+G116</f>
        <v>13341444550</v>
      </c>
      <c r="H119" s="114">
        <f t="shared" si="34"/>
        <v>1</v>
      </c>
      <c r="I119" s="116">
        <f>Juni!M119</f>
        <v>4305367368</v>
      </c>
      <c r="J119" s="55">
        <f>Juni!N119</f>
        <v>32.270623708434933</v>
      </c>
      <c r="K119" s="54">
        <f>K16+K55+K61+K67+K72+K76+K83+K89+K95+K98+K105+K113+K116</f>
        <v>1141550858</v>
      </c>
      <c r="L119" s="56">
        <f t="shared" si="35"/>
        <v>8.5564262079851012</v>
      </c>
      <c r="M119" s="54">
        <f>M16+M55+M61+M67+M72+M76+M83+M89+M95+M98+M105+M113+M116</f>
        <v>5446918226</v>
      </c>
      <c r="N119" s="56">
        <f t="shared" si="37"/>
        <v>40.82704991642003</v>
      </c>
      <c r="O119" s="57">
        <v>45.35</v>
      </c>
      <c r="P119" s="116">
        <f>G119-M119</f>
        <v>7894526324</v>
      </c>
    </row>
    <row r="120" spans="1:16" s="4" customFormat="1" ht="18" customHeight="1">
      <c r="A120" s="118"/>
      <c r="B120" s="118"/>
      <c r="C120" s="118"/>
      <c r="D120" s="119"/>
      <c r="E120" s="120"/>
      <c r="F120" s="33" t="s">
        <v>95</v>
      </c>
      <c r="G120" s="128">
        <f>G16</f>
        <v>8620443300</v>
      </c>
      <c r="H120" s="122"/>
      <c r="I120" s="121"/>
      <c r="J120" s="123"/>
      <c r="K120" s="121" t="s">
        <v>209</v>
      </c>
      <c r="L120" s="124"/>
      <c r="M120" s="126"/>
      <c r="N120" s="124"/>
      <c r="O120" s="125"/>
      <c r="P120" s="126"/>
    </row>
    <row r="121" spans="1:16" s="4" customFormat="1" ht="15.75" customHeight="1">
      <c r="A121" s="118"/>
      <c r="B121" s="118"/>
      <c r="C121" s="118"/>
      <c r="D121" s="119"/>
      <c r="E121" s="120"/>
      <c r="F121" s="33" t="s">
        <v>96</v>
      </c>
      <c r="G121" s="128">
        <f>G76</f>
        <v>171883200</v>
      </c>
      <c r="H121" s="187"/>
      <c r="I121" s="188"/>
      <c r="J121" s="189"/>
      <c r="K121" s="121"/>
      <c r="L121" s="124"/>
      <c r="M121" s="126"/>
      <c r="N121" s="124"/>
      <c r="O121" s="125"/>
      <c r="P121" s="126"/>
    </row>
    <row r="122" spans="1:16" s="3" customFormat="1">
      <c r="A122" s="77"/>
      <c r="B122" s="78"/>
      <c r="C122" s="78"/>
      <c r="D122" s="31"/>
      <c r="E122" s="32"/>
      <c r="F122" s="127" t="s">
        <v>97</v>
      </c>
      <c r="G122" s="128">
        <f>G83</f>
        <v>664592900</v>
      </c>
      <c r="H122" s="235" t="s">
        <v>133</v>
      </c>
      <c r="I122" s="207">
        <f>K119-I123-I124-I125</f>
        <v>672427077</v>
      </c>
      <c r="J122" s="174"/>
      <c r="K122" s="80"/>
      <c r="L122" s="80"/>
      <c r="M122" s="244" t="s">
        <v>200</v>
      </c>
      <c r="N122" s="244"/>
      <c r="O122" s="244"/>
      <c r="P122" s="80"/>
    </row>
    <row r="123" spans="1:16" s="3" customFormat="1" ht="17.25" customHeight="1">
      <c r="A123" s="32"/>
      <c r="B123" s="82"/>
      <c r="C123" s="78"/>
      <c r="D123" s="83"/>
      <c r="E123" s="80"/>
      <c r="F123" s="178" t="s">
        <v>98</v>
      </c>
      <c r="G123" s="155">
        <f>G61</f>
        <v>145888000</v>
      </c>
      <c r="H123" s="236" t="s">
        <v>203</v>
      </c>
      <c r="I123" s="207">
        <v>169146449</v>
      </c>
      <c r="J123" s="174"/>
      <c r="K123" s="80"/>
      <c r="L123" s="80"/>
      <c r="M123" s="250" t="s">
        <v>139</v>
      </c>
      <c r="N123" s="250"/>
      <c r="O123" s="250"/>
      <c r="P123" s="85" t="s">
        <v>0</v>
      </c>
    </row>
    <row r="124" spans="1:16" s="3" customFormat="1" ht="18" customHeight="1">
      <c r="A124" s="32"/>
      <c r="B124" s="82"/>
      <c r="C124" s="78"/>
      <c r="D124" s="83"/>
      <c r="E124" s="32"/>
      <c r="F124" s="179" t="s">
        <v>99</v>
      </c>
      <c r="G124" s="154">
        <f>G54</f>
        <v>441320000</v>
      </c>
      <c r="H124" s="233" t="s">
        <v>204</v>
      </c>
      <c r="I124" s="234">
        <v>139295232</v>
      </c>
      <c r="J124" s="174"/>
      <c r="K124" s="80"/>
      <c r="L124" s="80"/>
      <c r="M124" s="251"/>
      <c r="N124" s="251"/>
      <c r="O124" s="251"/>
      <c r="P124" s="87"/>
    </row>
    <row r="125" spans="1:16" s="3" customFormat="1">
      <c r="A125" s="1"/>
      <c r="B125" s="88"/>
      <c r="C125" s="89"/>
      <c r="D125" s="90"/>
      <c r="E125" s="220"/>
      <c r="F125" s="221" t="s">
        <v>100</v>
      </c>
      <c r="G125" s="222">
        <f>G89+G95+G98</f>
        <v>619715450</v>
      </c>
      <c r="H125" s="240" t="s">
        <v>207</v>
      </c>
      <c r="I125" s="241">
        <v>160682100</v>
      </c>
      <c r="J125" s="173"/>
      <c r="M125" s="246"/>
      <c r="N125" s="246"/>
      <c r="O125" s="246"/>
    </row>
    <row r="126" spans="1:16" s="3" customFormat="1">
      <c r="A126" s="1"/>
      <c r="B126" s="88"/>
      <c r="C126" s="89"/>
      <c r="D126" s="90"/>
      <c r="E126" s="220"/>
      <c r="F126" s="221" t="s">
        <v>101</v>
      </c>
      <c r="G126" s="223">
        <f>G105+G113+G116</f>
        <v>2677601700</v>
      </c>
      <c r="H126" s="91"/>
      <c r="I126" s="226"/>
      <c r="M126" s="245" t="s">
        <v>194</v>
      </c>
      <c r="N126" s="245"/>
      <c r="O126" s="245"/>
    </row>
    <row r="127" spans="1:16" s="3" customFormat="1" ht="15" customHeight="1">
      <c r="A127" s="1"/>
      <c r="B127" s="88"/>
      <c r="C127" s="89"/>
      <c r="D127" s="90"/>
      <c r="E127" s="220"/>
      <c r="F127" s="224" t="s">
        <v>102</v>
      </c>
      <c r="G127" s="225">
        <f>SUM(G120:G126)</f>
        <v>13341444550</v>
      </c>
      <c r="H127" s="91"/>
      <c r="I127" s="1"/>
      <c r="M127" s="242" t="s">
        <v>196</v>
      </c>
      <c r="N127" s="242"/>
      <c r="O127" s="242"/>
    </row>
    <row r="128" spans="1:16" s="3" customFormat="1" ht="15" customHeight="1">
      <c r="A128" s="1" t="s">
        <v>0</v>
      </c>
      <c r="B128" s="88"/>
      <c r="C128" s="89"/>
      <c r="D128" s="90"/>
      <c r="E128" s="220"/>
      <c r="F128" s="220"/>
      <c r="G128" s="225"/>
      <c r="H128" s="91"/>
      <c r="M128" s="242" t="s">
        <v>195</v>
      </c>
      <c r="N128" s="242"/>
      <c r="O128" s="242"/>
    </row>
    <row r="129" spans="1:8">
      <c r="A129" s="93"/>
      <c r="B129" s="94"/>
      <c r="C129" s="95"/>
      <c r="D129" s="96"/>
      <c r="E129" s="93"/>
      <c r="F129" s="93"/>
      <c r="G129" s="159"/>
      <c r="H129" s="98"/>
    </row>
    <row r="130" spans="1:8">
      <c r="A130" s="93"/>
      <c r="B130" s="94"/>
      <c r="C130" s="95"/>
      <c r="D130" s="96"/>
      <c r="E130" s="93"/>
      <c r="F130" s="93"/>
      <c r="G130" s="97"/>
      <c r="H130" s="98"/>
    </row>
    <row r="131" spans="1:8">
      <c r="A131" s="93"/>
      <c r="B131" s="94"/>
      <c r="C131" s="95"/>
      <c r="D131" s="96"/>
      <c r="E131" s="93"/>
      <c r="F131" s="93"/>
      <c r="G131" s="97"/>
      <c r="H131" s="98"/>
    </row>
  </sheetData>
  <mergeCells count="33">
    <mergeCell ref="A1:P1"/>
    <mergeCell ref="A2:P2"/>
    <mergeCell ref="A3:P3"/>
    <mergeCell ref="A5:E5"/>
    <mergeCell ref="A6:E6"/>
    <mergeCell ref="F6:P6"/>
    <mergeCell ref="A14:E14"/>
    <mergeCell ref="A7:E7"/>
    <mergeCell ref="A8:E8"/>
    <mergeCell ref="A10:E10"/>
    <mergeCell ref="F10:F1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M128:O128"/>
    <mergeCell ref="M122:O122"/>
    <mergeCell ref="M124:O124"/>
    <mergeCell ref="M125:O125"/>
    <mergeCell ref="M126:O126"/>
    <mergeCell ref="M127:O127"/>
    <mergeCell ref="M123:O123"/>
  </mergeCells>
  <pageMargins left="1.2" right="0.7" top="0.75" bottom="0.75" header="0.3" footer="0.3"/>
  <pageSetup paperSize="5" scale="70" orientation="landscape" horizontalDpi="4294967292" verticalDpi="4294967295" r:id="rId1"/>
  <rowBreaks count="1" manualBreakCount="1">
    <brk id="130" max="17" man="1"/>
  </rowBreaks>
</worksheet>
</file>

<file path=xl/worksheets/sheet8.xml><?xml version="1.0" encoding="utf-8"?>
<worksheet xmlns="http://schemas.openxmlformats.org/spreadsheetml/2006/main" xmlns:r="http://schemas.openxmlformats.org/officeDocument/2006/relationships">
  <dimension ref="A1:R131"/>
  <sheetViews>
    <sheetView showGridLines="0" tabSelected="1" view="pageBreakPreview" topLeftCell="A111" zoomScaleNormal="100" zoomScaleSheetLayoutView="100" workbookViewId="0">
      <selection activeCell="M124" sqref="M124:O124"/>
    </sheetView>
  </sheetViews>
  <sheetFormatPr defaultColWidth="9.140625" defaultRowHeight="15"/>
  <cols>
    <col min="1" max="1" width="2.85546875" style="99" customWidth="1"/>
    <col min="2" max="3" width="2.85546875" style="100" customWidth="1"/>
    <col min="4" max="4" width="4.42578125" style="101" customWidth="1"/>
    <col min="5" max="5" width="3.7109375" style="99" customWidth="1"/>
    <col min="6" max="6" width="68.140625" style="99" customWidth="1"/>
    <col min="7" max="7" width="17.28515625" style="102" customWidth="1"/>
    <col min="8" max="8" width="8.28515625" style="63" customWidth="1"/>
    <col min="9" max="9" width="14" style="64" customWidth="1"/>
    <col min="10" max="10" width="7.7109375" style="64" customWidth="1"/>
    <col min="11" max="11" width="15" style="64" customWidth="1"/>
    <col min="12" max="12" width="8.140625" style="64" customWidth="1"/>
    <col min="13" max="13" width="14.28515625" style="64" customWidth="1"/>
    <col min="14" max="14" width="7.42578125" style="64" customWidth="1"/>
    <col min="15" max="15" width="7.85546875" style="64" customWidth="1"/>
    <col min="16" max="16" width="15.8554687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86</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60"/>
      <c r="B4" s="60"/>
      <c r="C4" s="60"/>
      <c r="D4" s="61"/>
      <c r="E4" s="60"/>
      <c r="F4" s="60"/>
      <c r="G4" s="62"/>
    </row>
    <row r="5" spans="1:17" ht="15" customHeight="1">
      <c r="A5" s="267" t="s">
        <v>113</v>
      </c>
      <c r="B5" s="257"/>
      <c r="C5" s="257"/>
      <c r="D5" s="257"/>
      <c r="E5" s="257"/>
      <c r="F5" s="65" t="s">
        <v>44</v>
      </c>
      <c r="G5" s="66"/>
      <c r="H5" s="66"/>
      <c r="I5" s="66"/>
      <c r="J5" s="66"/>
      <c r="K5" s="66"/>
      <c r="L5" s="66"/>
      <c r="M5" s="66"/>
      <c r="N5" s="66"/>
      <c r="O5" s="66"/>
      <c r="P5" s="66"/>
    </row>
    <row r="6" spans="1:17" ht="15" customHeight="1">
      <c r="A6" s="267" t="s">
        <v>112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237" t="s">
        <v>45</v>
      </c>
      <c r="G7" s="68"/>
      <c r="H7" s="69"/>
      <c r="I7" s="70"/>
      <c r="J7" s="70"/>
      <c r="K7" s="70"/>
      <c r="L7" s="70"/>
      <c r="M7" s="70"/>
      <c r="N7" s="70"/>
      <c r="O7" s="70"/>
      <c r="P7" s="70"/>
    </row>
    <row r="8" spans="1:17" ht="15" customHeight="1">
      <c r="A8" s="257" t="s">
        <v>40</v>
      </c>
      <c r="B8" s="257"/>
      <c r="C8" s="257"/>
      <c r="D8" s="257"/>
      <c r="E8" s="257"/>
      <c r="F8" s="237" t="s">
        <v>206</v>
      </c>
      <c r="G8" s="68"/>
      <c r="H8" s="69"/>
      <c r="I8" s="70"/>
      <c r="J8" s="70"/>
      <c r="K8" s="70"/>
      <c r="L8" s="70"/>
      <c r="M8" s="70"/>
      <c r="N8" s="70"/>
      <c r="O8" s="70"/>
      <c r="P8" s="70"/>
    </row>
    <row r="9" spans="1:17" ht="15" customHeight="1">
      <c r="A9" s="71"/>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135</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239" t="s">
        <v>30</v>
      </c>
      <c r="P12" s="252"/>
      <c r="Q12" s="74"/>
    </row>
    <row r="13" spans="1:17" ht="15" customHeight="1">
      <c r="A13" s="255"/>
      <c r="B13" s="255"/>
      <c r="C13" s="255"/>
      <c r="D13" s="255"/>
      <c r="E13" s="255"/>
      <c r="F13" s="263"/>
      <c r="G13" s="252"/>
      <c r="H13" s="256"/>
      <c r="I13" s="239" t="s">
        <v>29</v>
      </c>
      <c r="J13" s="239" t="s">
        <v>28</v>
      </c>
      <c r="K13" s="239" t="s">
        <v>29</v>
      </c>
      <c r="L13" s="239" t="s">
        <v>28</v>
      </c>
      <c r="M13" s="239" t="s">
        <v>29</v>
      </c>
      <c r="N13" s="239" t="s">
        <v>28</v>
      </c>
      <c r="O13" s="239" t="s">
        <v>28</v>
      </c>
      <c r="P13" s="252"/>
      <c r="Q13" s="74"/>
    </row>
    <row r="14" spans="1:17" s="75" customFormat="1" ht="15" customHeight="1">
      <c r="A14" s="247">
        <v>1</v>
      </c>
      <c r="B14" s="248"/>
      <c r="C14" s="248"/>
      <c r="D14" s="248"/>
      <c r="E14" s="249"/>
      <c r="F14" s="110">
        <v>2</v>
      </c>
      <c r="G14" s="111">
        <v>3</v>
      </c>
      <c r="H14" s="112">
        <v>4</v>
      </c>
      <c r="I14" s="113">
        <v>5</v>
      </c>
      <c r="J14" s="113">
        <v>6</v>
      </c>
      <c r="K14" s="113">
        <v>8</v>
      </c>
      <c r="L14" s="113">
        <v>9</v>
      </c>
      <c r="M14" s="113">
        <v>11</v>
      </c>
      <c r="N14" s="113">
        <v>12</v>
      </c>
      <c r="O14" s="113">
        <v>13</v>
      </c>
      <c r="P14" s="113">
        <v>14</v>
      </c>
    </row>
    <row r="15" spans="1:17" s="152" customFormat="1" ht="30" customHeight="1">
      <c r="A15" s="147"/>
      <c r="B15" s="148"/>
      <c r="C15" s="148"/>
      <c r="D15" s="148"/>
      <c r="E15" s="149"/>
      <c r="F15" s="140" t="s">
        <v>107</v>
      </c>
      <c r="G15" s="153">
        <f>G16</f>
        <v>8620443300</v>
      </c>
      <c r="H15" s="150"/>
      <c r="I15" s="151"/>
      <c r="J15" s="151"/>
      <c r="K15" s="151"/>
      <c r="L15" s="151"/>
      <c r="M15" s="151"/>
      <c r="N15" s="151"/>
      <c r="O15" s="151"/>
      <c r="P15" s="151"/>
    </row>
    <row r="16" spans="1:17" s="4" customFormat="1" ht="22.5" customHeight="1">
      <c r="A16" s="36">
        <v>2</v>
      </c>
      <c r="B16" s="36">
        <v>8</v>
      </c>
      <c r="C16" s="36">
        <v>1</v>
      </c>
      <c r="D16" s="37"/>
      <c r="E16" s="36"/>
      <c r="F16" s="38" t="s">
        <v>93</v>
      </c>
      <c r="G16" s="39">
        <f>G17+G25+G29+G33+G41+G45+G50</f>
        <v>8620443300</v>
      </c>
      <c r="H16" s="40">
        <f t="shared" ref="H16:H53" si="0">+G16/$G$119*100%</f>
        <v>0.64614017377900801</v>
      </c>
      <c r="I16" s="39">
        <f>Juli!M16</f>
        <v>4647422019</v>
      </c>
      <c r="J16" s="42">
        <f>Juli!N16</f>
        <v>53.911636064006132</v>
      </c>
      <c r="K16" s="39">
        <f>K17+K25+K29+K33+K45+K50</f>
        <v>307482565</v>
      </c>
      <c r="L16" s="43">
        <f t="shared" ref="L16:L29" si="1">K16/G16*100</f>
        <v>3.5668996860057067</v>
      </c>
      <c r="M16" s="39">
        <f t="shared" ref="M16:M29" si="2">I16+K16</f>
        <v>4954904584</v>
      </c>
      <c r="N16" s="43">
        <f t="shared" ref="N16:N29" si="3">M16/G16*100</f>
        <v>57.478535750011837</v>
      </c>
      <c r="O16" s="44"/>
      <c r="P16" s="39">
        <f t="shared" ref="P16:P29" si="4">G16-M16</f>
        <v>3665538716</v>
      </c>
    </row>
    <row r="17" spans="1:18" s="106" customFormat="1" ht="22.5" customHeight="1">
      <c r="A17" s="5">
        <v>2</v>
      </c>
      <c r="B17" s="5">
        <v>8</v>
      </c>
      <c r="C17" s="5">
        <v>1</v>
      </c>
      <c r="D17" s="6" t="s">
        <v>8</v>
      </c>
      <c r="E17" s="5"/>
      <c r="F17" s="7" t="s">
        <v>27</v>
      </c>
      <c r="G17" s="45">
        <f>SUM(G18:G24)</f>
        <v>29295100</v>
      </c>
      <c r="H17" s="9">
        <f t="shared" si="0"/>
        <v>2.1957967062869515E-3</v>
      </c>
      <c r="I17" s="8">
        <f>Juli!M17</f>
        <v>19785700</v>
      </c>
      <c r="J17" s="11">
        <f>Juli!N17</f>
        <v>67.539281313257177</v>
      </c>
      <c r="K17" s="45">
        <f>SUM(K18:K24)</f>
        <v>0</v>
      </c>
      <c r="L17" s="12">
        <f t="shared" si="1"/>
        <v>0</v>
      </c>
      <c r="M17" s="8">
        <f t="shared" si="2"/>
        <v>19785700</v>
      </c>
      <c r="N17" s="12">
        <f t="shared" si="3"/>
        <v>67.539281313257177</v>
      </c>
      <c r="O17" s="13">
        <v>74.319999999999993</v>
      </c>
      <c r="P17" s="8">
        <f t="shared" si="4"/>
        <v>9509400</v>
      </c>
      <c r="R17" s="107"/>
    </row>
    <row r="18" spans="1:18" s="3" customFormat="1" ht="22.5" customHeight="1">
      <c r="A18" s="14">
        <v>2</v>
      </c>
      <c r="B18" s="14">
        <v>8</v>
      </c>
      <c r="C18" s="14">
        <v>1</v>
      </c>
      <c r="D18" s="15" t="s">
        <v>8</v>
      </c>
      <c r="E18" s="14">
        <v>1</v>
      </c>
      <c r="F18" s="16" t="s">
        <v>49</v>
      </c>
      <c r="G18" s="17">
        <v>7249700</v>
      </c>
      <c r="H18" s="18">
        <f t="shared" si="0"/>
        <v>5.4339692923282439E-4</v>
      </c>
      <c r="I18" s="21">
        <f>Juli!M18</f>
        <v>6399700</v>
      </c>
      <c r="J18" s="190">
        <f>Juli!N18</f>
        <v>88.27537691214809</v>
      </c>
      <c r="K18" s="21"/>
      <c r="L18" s="20">
        <f t="shared" si="1"/>
        <v>0</v>
      </c>
      <c r="M18" s="21">
        <f t="shared" si="2"/>
        <v>6399700</v>
      </c>
      <c r="N18" s="20">
        <f t="shared" si="3"/>
        <v>88.27537691214809</v>
      </c>
      <c r="O18" s="22">
        <v>90.34</v>
      </c>
      <c r="P18" s="21">
        <f t="shared" si="4"/>
        <v>850000</v>
      </c>
      <c r="R18" s="76"/>
    </row>
    <row r="19" spans="1:18" s="3" customFormat="1" ht="22.5" customHeight="1">
      <c r="A19" s="214">
        <v>2</v>
      </c>
      <c r="B19" s="214">
        <v>8</v>
      </c>
      <c r="C19" s="214">
        <v>1</v>
      </c>
      <c r="D19" s="215" t="s">
        <v>8</v>
      </c>
      <c r="E19" s="214">
        <v>2</v>
      </c>
      <c r="F19" s="216" t="s">
        <v>50</v>
      </c>
      <c r="G19" s="217">
        <v>2850400</v>
      </c>
      <c r="H19" s="18">
        <f t="shared" si="0"/>
        <v>2.1365002787498001E-4</v>
      </c>
      <c r="I19" s="21">
        <f>Juli!M19</f>
        <v>0</v>
      </c>
      <c r="J19" s="190">
        <f>Juli!N19</f>
        <v>0</v>
      </c>
      <c r="K19" s="21"/>
      <c r="L19" s="20">
        <f t="shared" si="1"/>
        <v>0</v>
      </c>
      <c r="M19" s="21">
        <f t="shared" si="2"/>
        <v>0</v>
      </c>
      <c r="N19" s="20">
        <f t="shared" si="3"/>
        <v>0</v>
      </c>
      <c r="O19" s="22">
        <v>0</v>
      </c>
      <c r="P19" s="21">
        <f t="shared" si="4"/>
        <v>2850400</v>
      </c>
      <c r="R19" s="76"/>
    </row>
    <row r="20" spans="1:18" s="3" customFormat="1" ht="22.5" customHeight="1">
      <c r="A20" s="214">
        <v>2</v>
      </c>
      <c r="B20" s="214">
        <v>8</v>
      </c>
      <c r="C20" s="214">
        <v>1</v>
      </c>
      <c r="D20" s="215" t="s">
        <v>8</v>
      </c>
      <c r="E20" s="214">
        <v>3</v>
      </c>
      <c r="F20" s="216" t="s">
        <v>51</v>
      </c>
      <c r="G20" s="217">
        <v>2800000</v>
      </c>
      <c r="H20" s="18">
        <f t="shared" si="0"/>
        <v>2.0987232600685657E-4</v>
      </c>
      <c r="I20" s="21">
        <f>Juli!M20</f>
        <v>0</v>
      </c>
      <c r="J20" s="190">
        <f>Juli!N20</f>
        <v>0</v>
      </c>
      <c r="K20" s="21"/>
      <c r="L20" s="20">
        <f t="shared" si="1"/>
        <v>0</v>
      </c>
      <c r="M20" s="21">
        <f t="shared" si="2"/>
        <v>0</v>
      </c>
      <c r="N20" s="20">
        <f t="shared" si="3"/>
        <v>0</v>
      </c>
      <c r="O20" s="22">
        <v>0</v>
      </c>
      <c r="P20" s="21">
        <f t="shared" si="4"/>
        <v>2800000</v>
      </c>
      <c r="R20" s="76"/>
    </row>
    <row r="21" spans="1:18" s="3" customFormat="1" ht="22.5" customHeight="1">
      <c r="A21" s="214">
        <v>2</v>
      </c>
      <c r="B21" s="214">
        <v>8</v>
      </c>
      <c r="C21" s="214">
        <v>1</v>
      </c>
      <c r="D21" s="215" t="s">
        <v>8</v>
      </c>
      <c r="E21" s="214">
        <v>4</v>
      </c>
      <c r="F21" s="216" t="s">
        <v>52</v>
      </c>
      <c r="G21" s="217">
        <v>1442000</v>
      </c>
      <c r="H21" s="18">
        <f t="shared" si="0"/>
        <v>1.0808424789353115E-4</v>
      </c>
      <c r="I21" s="21">
        <f>Juli!M21</f>
        <v>0</v>
      </c>
      <c r="J21" s="190">
        <f>Juli!N21</f>
        <v>0</v>
      </c>
      <c r="K21" s="21"/>
      <c r="L21" s="20">
        <f t="shared" si="1"/>
        <v>0</v>
      </c>
      <c r="M21" s="21">
        <f t="shared" si="2"/>
        <v>0</v>
      </c>
      <c r="N21" s="20">
        <f t="shared" si="3"/>
        <v>0</v>
      </c>
      <c r="O21" s="22">
        <v>0</v>
      </c>
      <c r="P21" s="21">
        <f t="shared" si="4"/>
        <v>1442000</v>
      </c>
      <c r="R21" s="76"/>
    </row>
    <row r="22" spans="1:18" s="3" customFormat="1" ht="22.5" customHeight="1">
      <c r="A22" s="214">
        <v>2</v>
      </c>
      <c r="B22" s="214">
        <v>8</v>
      </c>
      <c r="C22" s="214">
        <v>1</v>
      </c>
      <c r="D22" s="215" t="s">
        <v>8</v>
      </c>
      <c r="E22" s="214">
        <v>5</v>
      </c>
      <c r="F22" s="216" t="s">
        <v>53</v>
      </c>
      <c r="G22" s="217">
        <f>1567000</f>
        <v>1567000</v>
      </c>
      <c r="H22" s="18">
        <f t="shared" si="0"/>
        <v>1.1745354816169438E-4</v>
      </c>
      <c r="I22" s="21">
        <f>Juli!M22</f>
        <v>0</v>
      </c>
      <c r="J22" s="190">
        <f>Juli!N22</f>
        <v>0</v>
      </c>
      <c r="K22" s="21"/>
      <c r="L22" s="20">
        <f t="shared" si="1"/>
        <v>0</v>
      </c>
      <c r="M22" s="21">
        <f t="shared" si="2"/>
        <v>0</v>
      </c>
      <c r="N22" s="20">
        <f t="shared" si="3"/>
        <v>0</v>
      </c>
      <c r="O22" s="22">
        <v>0</v>
      </c>
      <c r="P22" s="21">
        <f t="shared" si="4"/>
        <v>1567000</v>
      </c>
      <c r="R22" s="76"/>
    </row>
    <row r="23" spans="1:18" s="3" customFormat="1" ht="31.5" customHeight="1">
      <c r="A23" s="14">
        <v>2</v>
      </c>
      <c r="B23" s="14">
        <v>8</v>
      </c>
      <c r="C23" s="14">
        <v>1</v>
      </c>
      <c r="D23" s="15" t="s">
        <v>8</v>
      </c>
      <c r="E23" s="14">
        <v>6</v>
      </c>
      <c r="F23" s="16" t="s">
        <v>54</v>
      </c>
      <c r="G23" s="17">
        <v>6851000</v>
      </c>
      <c r="H23" s="18">
        <f t="shared" si="0"/>
        <v>5.1351260909749091E-4</v>
      </c>
      <c r="I23" s="21">
        <f>Juli!M23</f>
        <v>6851000</v>
      </c>
      <c r="J23" s="190">
        <f>Juli!N23</f>
        <v>100</v>
      </c>
      <c r="K23" s="21"/>
      <c r="L23" s="20">
        <f t="shared" si="1"/>
        <v>0</v>
      </c>
      <c r="M23" s="21">
        <f t="shared" si="2"/>
        <v>6851000</v>
      </c>
      <c r="N23" s="20">
        <f t="shared" si="3"/>
        <v>100</v>
      </c>
      <c r="O23" s="22">
        <v>100</v>
      </c>
      <c r="P23" s="21">
        <f t="shared" si="4"/>
        <v>0</v>
      </c>
      <c r="R23" s="76"/>
    </row>
    <row r="24" spans="1:18" s="3" customFormat="1" ht="22.5" customHeight="1">
      <c r="A24" s="14">
        <v>2</v>
      </c>
      <c r="B24" s="14">
        <v>8</v>
      </c>
      <c r="C24" s="14">
        <v>1</v>
      </c>
      <c r="D24" s="15" t="s">
        <v>8</v>
      </c>
      <c r="E24" s="14">
        <v>7</v>
      </c>
      <c r="F24" s="16" t="s">
        <v>55</v>
      </c>
      <c r="G24" s="17">
        <v>6535000</v>
      </c>
      <c r="H24" s="18">
        <f t="shared" si="0"/>
        <v>4.8982701801957419E-4</v>
      </c>
      <c r="I24" s="21">
        <f>Juli!M24</f>
        <v>6535000</v>
      </c>
      <c r="J24" s="190">
        <f>Juli!N24</f>
        <v>100</v>
      </c>
      <c r="K24" s="21"/>
      <c r="L24" s="20">
        <f t="shared" si="1"/>
        <v>0</v>
      </c>
      <c r="M24" s="21">
        <f t="shared" si="2"/>
        <v>6535000</v>
      </c>
      <c r="N24" s="20">
        <f t="shared" si="3"/>
        <v>100</v>
      </c>
      <c r="O24" s="22">
        <v>100</v>
      </c>
      <c r="P24" s="21">
        <f t="shared" si="4"/>
        <v>0</v>
      </c>
      <c r="R24" s="76"/>
    </row>
    <row r="25" spans="1:18" s="106" customFormat="1" ht="22.5" customHeight="1">
      <c r="A25" s="5">
        <v>2</v>
      </c>
      <c r="B25" s="5">
        <v>8</v>
      </c>
      <c r="C25" s="5">
        <v>1</v>
      </c>
      <c r="D25" s="6" t="s">
        <v>7</v>
      </c>
      <c r="E25" s="5"/>
      <c r="F25" s="7" t="s">
        <v>26</v>
      </c>
      <c r="G25" s="45">
        <f>SUM(G26:G28)</f>
        <v>7291370573</v>
      </c>
      <c r="H25" s="9">
        <f t="shared" si="0"/>
        <v>0.54652032211909163</v>
      </c>
      <c r="I25" s="8">
        <f>Juli!M25</f>
        <v>4153040480</v>
      </c>
      <c r="J25" s="11">
        <f>Juli!N25</f>
        <v>56.958296638751847</v>
      </c>
      <c r="K25" s="45">
        <f>SUM(K26:K28)</f>
        <v>284082565</v>
      </c>
      <c r="L25" s="12">
        <f t="shared" si="1"/>
        <v>3.8961476742378163</v>
      </c>
      <c r="M25" s="8">
        <f t="shared" si="2"/>
        <v>4437123045</v>
      </c>
      <c r="N25" s="12">
        <f t="shared" si="3"/>
        <v>60.854444312989664</v>
      </c>
      <c r="O25" s="13">
        <v>65.34</v>
      </c>
      <c r="P25" s="8">
        <f t="shared" si="4"/>
        <v>2854247528</v>
      </c>
    </row>
    <row r="26" spans="1:18" s="3" customFormat="1" ht="22.5" customHeight="1">
      <c r="A26" s="214">
        <v>2</v>
      </c>
      <c r="B26" s="214">
        <v>8</v>
      </c>
      <c r="C26" s="214">
        <v>1</v>
      </c>
      <c r="D26" s="215" t="s">
        <v>7</v>
      </c>
      <c r="E26" s="214">
        <v>1</v>
      </c>
      <c r="F26" s="216" t="s">
        <v>56</v>
      </c>
      <c r="G26" s="217">
        <v>7232422573</v>
      </c>
      <c r="H26" s="18">
        <f t="shared" si="0"/>
        <v>0.54210191002143016</v>
      </c>
      <c r="I26" s="21">
        <f>Juli!M26</f>
        <v>4114522480</v>
      </c>
      <c r="J26" s="190">
        <f>Juli!N26</f>
        <v>56.889962366970778</v>
      </c>
      <c r="K26" s="21">
        <f>275738531+8344034</f>
        <v>284082565</v>
      </c>
      <c r="L26" s="20">
        <f t="shared" si="1"/>
        <v>3.9279033011778637</v>
      </c>
      <c r="M26" s="21">
        <f t="shared" si="2"/>
        <v>4398605045</v>
      </c>
      <c r="N26" s="20">
        <f t="shared" si="3"/>
        <v>60.817865668148649</v>
      </c>
      <c r="O26" s="22">
        <v>65.23</v>
      </c>
      <c r="P26" s="21">
        <f t="shared" si="4"/>
        <v>2833817528</v>
      </c>
    </row>
    <row r="27" spans="1:18" s="3" customFormat="1" ht="22.5" customHeight="1">
      <c r="A27" s="214">
        <v>2</v>
      </c>
      <c r="B27" s="214">
        <v>8</v>
      </c>
      <c r="C27" s="214">
        <v>1</v>
      </c>
      <c r="D27" s="215" t="s">
        <v>7</v>
      </c>
      <c r="E27" s="214">
        <v>2</v>
      </c>
      <c r="F27" s="216" t="s">
        <v>57</v>
      </c>
      <c r="G27" s="217">
        <v>52547000</v>
      </c>
      <c r="H27" s="18">
        <f t="shared" si="0"/>
        <v>3.9386289695293904E-3</v>
      </c>
      <c r="I27" s="21">
        <f>Juli!M27</f>
        <v>32117000</v>
      </c>
      <c r="J27" s="190">
        <f>Juli!N27</f>
        <v>61.120520676727494</v>
      </c>
      <c r="K27" s="21"/>
      <c r="L27" s="20">
        <f t="shared" si="1"/>
        <v>0</v>
      </c>
      <c r="M27" s="21">
        <f t="shared" si="2"/>
        <v>32117000</v>
      </c>
      <c r="N27" s="20">
        <f t="shared" si="3"/>
        <v>61.120520676727494</v>
      </c>
      <c r="O27" s="22">
        <v>63.21</v>
      </c>
      <c r="P27" s="21">
        <f t="shared" si="4"/>
        <v>20430000</v>
      </c>
    </row>
    <row r="28" spans="1:18" s="3" customFormat="1" ht="22.5" customHeight="1">
      <c r="A28" s="14">
        <v>2</v>
      </c>
      <c r="B28" s="14">
        <v>8</v>
      </c>
      <c r="C28" s="14">
        <v>1</v>
      </c>
      <c r="D28" s="15" t="s">
        <v>7</v>
      </c>
      <c r="E28" s="14">
        <v>5</v>
      </c>
      <c r="F28" s="16" t="s">
        <v>58</v>
      </c>
      <c r="G28" s="17">
        <v>6401000</v>
      </c>
      <c r="H28" s="18">
        <f t="shared" si="0"/>
        <v>4.7978312813210319E-4</v>
      </c>
      <c r="I28" s="21">
        <f>Juli!M28</f>
        <v>6401000</v>
      </c>
      <c r="J28" s="190">
        <f>Juli!N28</f>
        <v>100</v>
      </c>
      <c r="K28" s="21"/>
      <c r="L28" s="20">
        <f t="shared" si="1"/>
        <v>0</v>
      </c>
      <c r="M28" s="21">
        <f t="shared" si="2"/>
        <v>6401000</v>
      </c>
      <c r="N28" s="20">
        <f t="shared" si="3"/>
        <v>100</v>
      </c>
      <c r="O28" s="22">
        <v>100</v>
      </c>
      <c r="P28" s="21">
        <f t="shared" si="4"/>
        <v>0</v>
      </c>
    </row>
    <row r="29" spans="1:18" s="35" customFormat="1" ht="22.5" customHeight="1">
      <c r="A29" s="5">
        <v>2</v>
      </c>
      <c r="B29" s="5">
        <v>8</v>
      </c>
      <c r="C29" s="5">
        <v>1</v>
      </c>
      <c r="D29" s="6" t="s">
        <v>14</v>
      </c>
      <c r="E29" s="5"/>
      <c r="F29" s="7" t="s">
        <v>25</v>
      </c>
      <c r="G29" s="45">
        <f>SUM(G30:G32)</f>
        <v>12840000</v>
      </c>
      <c r="H29" s="9">
        <f t="shared" si="0"/>
        <v>9.6241452354572802E-4</v>
      </c>
      <c r="I29" s="8">
        <f>Juli!M29</f>
        <v>5519900</v>
      </c>
      <c r="J29" s="11">
        <f>Juli!N29</f>
        <v>42.989875389408098</v>
      </c>
      <c r="K29" s="45">
        <f>K32</f>
        <v>0</v>
      </c>
      <c r="L29" s="12">
        <f t="shared" si="1"/>
        <v>0</v>
      </c>
      <c r="M29" s="8">
        <f t="shared" si="2"/>
        <v>5519900</v>
      </c>
      <c r="N29" s="12">
        <f t="shared" si="3"/>
        <v>42.989875389408098</v>
      </c>
      <c r="O29" s="13">
        <v>45.54</v>
      </c>
      <c r="P29" s="8">
        <f t="shared" si="4"/>
        <v>7320100</v>
      </c>
    </row>
    <row r="30" spans="1:18" s="35" customFormat="1" ht="22.5" customHeight="1">
      <c r="A30" s="214">
        <v>2</v>
      </c>
      <c r="B30" s="214">
        <v>8</v>
      </c>
      <c r="C30" s="214">
        <v>1</v>
      </c>
      <c r="D30" s="215" t="s">
        <v>14</v>
      </c>
      <c r="E30" s="214">
        <v>1</v>
      </c>
      <c r="F30" s="218" t="s">
        <v>114</v>
      </c>
      <c r="G30" s="217">
        <v>567000</v>
      </c>
      <c r="H30" s="18">
        <f t="shared" si="0"/>
        <v>4.2499146016388455E-5</v>
      </c>
      <c r="I30" s="21">
        <f>Juli!M30</f>
        <v>0</v>
      </c>
      <c r="J30" s="190">
        <f>Juli!N30</f>
        <v>0</v>
      </c>
      <c r="K30" s="164"/>
      <c r="L30" s="20"/>
      <c r="M30" s="21">
        <f t="shared" ref="M30:M38" si="5">I30+K30</f>
        <v>0</v>
      </c>
      <c r="N30" s="29"/>
      <c r="O30" s="22">
        <v>0</v>
      </c>
      <c r="P30" s="21">
        <f t="shared" ref="P30:P38" si="6">G30-M30</f>
        <v>567000</v>
      </c>
    </row>
    <row r="31" spans="1:18" s="35" customFormat="1" ht="22.5" customHeight="1">
      <c r="A31" s="14">
        <v>2</v>
      </c>
      <c r="B31" s="14">
        <v>8</v>
      </c>
      <c r="C31" s="14">
        <v>1</v>
      </c>
      <c r="D31" s="15" t="s">
        <v>14</v>
      </c>
      <c r="E31" s="14">
        <v>5</v>
      </c>
      <c r="F31" s="166" t="s">
        <v>115</v>
      </c>
      <c r="G31" s="17">
        <v>1100000</v>
      </c>
      <c r="H31" s="18">
        <f t="shared" si="0"/>
        <v>8.2449842359836516E-5</v>
      </c>
      <c r="I31" s="21">
        <f>Juli!M31</f>
        <v>0</v>
      </c>
      <c r="J31" s="190">
        <f>Juli!N31</f>
        <v>0</v>
      </c>
      <c r="K31" s="164"/>
      <c r="L31" s="20"/>
      <c r="M31" s="21">
        <f t="shared" si="5"/>
        <v>0</v>
      </c>
      <c r="N31" s="29"/>
      <c r="O31" s="22">
        <v>0</v>
      </c>
      <c r="P31" s="21">
        <f t="shared" si="6"/>
        <v>1100000</v>
      </c>
    </row>
    <row r="32" spans="1:18" s="3" customFormat="1" ht="22.5" customHeight="1">
      <c r="A32" s="214">
        <v>2</v>
      </c>
      <c r="B32" s="214">
        <v>8</v>
      </c>
      <c r="C32" s="214">
        <v>1</v>
      </c>
      <c r="D32" s="215" t="s">
        <v>14</v>
      </c>
      <c r="E32" s="214">
        <v>6</v>
      </c>
      <c r="F32" s="216" t="s">
        <v>59</v>
      </c>
      <c r="G32" s="217">
        <v>11173000</v>
      </c>
      <c r="H32" s="18">
        <f t="shared" si="0"/>
        <v>8.3746553516950302E-4</v>
      </c>
      <c r="I32" s="21">
        <f>Juli!M32</f>
        <v>5519900</v>
      </c>
      <c r="J32" s="190">
        <f>Juli!N32</f>
        <v>49.403920164682717</v>
      </c>
      <c r="K32" s="21"/>
      <c r="L32" s="20">
        <f t="shared" ref="L32:L38" si="7">K32/G32*100</f>
        <v>0</v>
      </c>
      <c r="M32" s="21">
        <f t="shared" si="5"/>
        <v>5519900</v>
      </c>
      <c r="N32" s="20">
        <f t="shared" ref="N32:N38" si="8">M32/G32*100</f>
        <v>49.403920164682717</v>
      </c>
      <c r="O32" s="22">
        <v>52.21</v>
      </c>
      <c r="P32" s="21">
        <f t="shared" si="6"/>
        <v>5653100</v>
      </c>
    </row>
    <row r="33" spans="1:16" s="106" customFormat="1" ht="22.5" customHeight="1">
      <c r="A33" s="5">
        <v>2</v>
      </c>
      <c r="B33" s="5">
        <v>8</v>
      </c>
      <c r="C33" s="5">
        <v>1</v>
      </c>
      <c r="D33" s="6" t="s">
        <v>24</v>
      </c>
      <c r="E33" s="5"/>
      <c r="F33" s="7" t="s">
        <v>4</v>
      </c>
      <c r="G33" s="45">
        <f>SUM(G34:G40)</f>
        <v>646477250</v>
      </c>
      <c r="H33" s="9">
        <f t="shared" si="0"/>
        <v>4.8456315774291471E-2</v>
      </c>
      <c r="I33" s="8">
        <f>Juli!M33</f>
        <v>119868853</v>
      </c>
      <c r="J33" s="11">
        <f>Juli!N33</f>
        <v>18.541851704758365</v>
      </c>
      <c r="K33" s="45">
        <f>SUM(K34:K40)</f>
        <v>0</v>
      </c>
      <c r="L33" s="12">
        <f t="shared" si="7"/>
        <v>0</v>
      </c>
      <c r="M33" s="8">
        <f>I33+K33</f>
        <v>119868853</v>
      </c>
      <c r="N33" s="12">
        <f t="shared" si="8"/>
        <v>18.541851704758365</v>
      </c>
      <c r="O33" s="13">
        <v>24.55</v>
      </c>
      <c r="P33" s="8">
        <f t="shared" si="6"/>
        <v>526608397</v>
      </c>
    </row>
    <row r="34" spans="1:16" s="3" customFormat="1" ht="22.5" customHeight="1">
      <c r="A34" s="214">
        <v>2</v>
      </c>
      <c r="B34" s="214">
        <v>8</v>
      </c>
      <c r="C34" s="214">
        <v>1</v>
      </c>
      <c r="D34" s="215" t="s">
        <v>24</v>
      </c>
      <c r="E34" s="214">
        <v>1</v>
      </c>
      <c r="F34" s="216" t="s">
        <v>60</v>
      </c>
      <c r="G34" s="217">
        <v>3122500</v>
      </c>
      <c r="H34" s="18">
        <f t="shared" si="0"/>
        <v>2.3404512069871773E-4</v>
      </c>
      <c r="I34" s="21">
        <f>Juli!M34</f>
        <v>2775500</v>
      </c>
      <c r="J34" s="190">
        <f>Juli!N34</f>
        <v>88.887109687750197</v>
      </c>
      <c r="K34" s="21"/>
      <c r="L34" s="20">
        <f t="shared" si="7"/>
        <v>0</v>
      </c>
      <c r="M34" s="21">
        <f t="shared" si="5"/>
        <v>2775500</v>
      </c>
      <c r="N34" s="20">
        <f t="shared" si="8"/>
        <v>88.887109687750197</v>
      </c>
      <c r="O34" s="22">
        <v>90.45</v>
      </c>
      <c r="P34" s="21">
        <f>G34-M34</f>
        <v>347000</v>
      </c>
    </row>
    <row r="35" spans="1:16" s="3" customFormat="1" ht="22.5" customHeight="1">
      <c r="A35" s="214">
        <v>2</v>
      </c>
      <c r="B35" s="214">
        <v>8</v>
      </c>
      <c r="C35" s="214">
        <v>1</v>
      </c>
      <c r="D35" s="215" t="s">
        <v>24</v>
      </c>
      <c r="E35" s="214">
        <v>2</v>
      </c>
      <c r="F35" s="216" t="s">
        <v>61</v>
      </c>
      <c r="G35" s="217">
        <v>44092200</v>
      </c>
      <c r="H35" s="18">
        <f t="shared" si="0"/>
        <v>3.3049044902712576E-3</v>
      </c>
      <c r="I35" s="21">
        <f>Juli!M35</f>
        <v>24420925</v>
      </c>
      <c r="J35" s="190">
        <f>Juli!N35</f>
        <v>55.386043336463139</v>
      </c>
      <c r="K35" s="21"/>
      <c r="L35" s="20">
        <f t="shared" si="7"/>
        <v>0</v>
      </c>
      <c r="M35" s="21">
        <f t="shared" si="5"/>
        <v>24420925</v>
      </c>
      <c r="N35" s="20">
        <f t="shared" si="8"/>
        <v>55.386043336463139</v>
      </c>
      <c r="O35" s="22">
        <v>59.43</v>
      </c>
      <c r="P35" s="21">
        <f t="shared" ref="P35:P40" si="9">G35-M35</f>
        <v>19671275</v>
      </c>
    </row>
    <row r="36" spans="1:16" s="3" customFormat="1" ht="22.5" customHeight="1">
      <c r="A36" s="214">
        <v>2</v>
      </c>
      <c r="B36" s="214">
        <v>8</v>
      </c>
      <c r="C36" s="214">
        <v>1</v>
      </c>
      <c r="D36" s="215" t="s">
        <v>24</v>
      </c>
      <c r="E36" s="214">
        <v>5</v>
      </c>
      <c r="F36" s="216" t="s">
        <v>62</v>
      </c>
      <c r="G36" s="217">
        <v>7650000</v>
      </c>
      <c r="H36" s="18">
        <f t="shared" si="0"/>
        <v>5.7340117641159027E-4</v>
      </c>
      <c r="I36" s="21">
        <f>Juli!M36</f>
        <v>2699800</v>
      </c>
      <c r="J36" s="190">
        <f>Juli!N36</f>
        <v>35.291503267973859</v>
      </c>
      <c r="K36" s="21"/>
      <c r="L36" s="20">
        <f t="shared" si="7"/>
        <v>0</v>
      </c>
      <c r="M36" s="21">
        <f t="shared" si="5"/>
        <v>2699800</v>
      </c>
      <c r="N36" s="20">
        <f t="shared" si="8"/>
        <v>35.291503267973859</v>
      </c>
      <c r="O36" s="22">
        <v>40.21</v>
      </c>
      <c r="P36" s="21">
        <f t="shared" si="9"/>
        <v>4950200</v>
      </c>
    </row>
    <row r="37" spans="1:16" s="3" customFormat="1" ht="22.5" customHeight="1">
      <c r="A37" s="14">
        <v>2</v>
      </c>
      <c r="B37" s="14">
        <v>8</v>
      </c>
      <c r="C37" s="14">
        <v>1</v>
      </c>
      <c r="D37" s="15" t="s">
        <v>24</v>
      </c>
      <c r="E37" s="14">
        <v>6</v>
      </c>
      <c r="F37" s="16" t="s">
        <v>63</v>
      </c>
      <c r="G37" s="17">
        <v>12600000</v>
      </c>
      <c r="H37" s="18">
        <f t="shared" si="0"/>
        <v>9.4442546703085457E-4</v>
      </c>
      <c r="I37" s="21">
        <f>Juli!M37</f>
        <v>2250000</v>
      </c>
      <c r="J37" s="190">
        <f>Juli!N37</f>
        <v>17.857142857142858</v>
      </c>
      <c r="K37" s="21"/>
      <c r="L37" s="20">
        <f t="shared" si="7"/>
        <v>0</v>
      </c>
      <c r="M37" s="21">
        <f t="shared" si="5"/>
        <v>2250000</v>
      </c>
      <c r="N37" s="20">
        <f t="shared" si="8"/>
        <v>17.857142857142858</v>
      </c>
      <c r="O37" s="22">
        <v>23.54</v>
      </c>
      <c r="P37" s="21">
        <f t="shared" si="9"/>
        <v>10350000</v>
      </c>
    </row>
    <row r="38" spans="1:16" s="3" customFormat="1" ht="22.5" customHeight="1">
      <c r="A38" s="214">
        <v>2</v>
      </c>
      <c r="B38" s="214">
        <v>8</v>
      </c>
      <c r="C38" s="214">
        <v>1</v>
      </c>
      <c r="D38" s="215" t="s">
        <v>24</v>
      </c>
      <c r="E38" s="214">
        <v>8</v>
      </c>
      <c r="F38" s="218" t="s">
        <v>120</v>
      </c>
      <c r="G38" s="217">
        <f>5825000</f>
        <v>5825000</v>
      </c>
      <c r="H38" s="18">
        <f t="shared" si="0"/>
        <v>4.3660939249640698E-4</v>
      </c>
      <c r="I38" s="21">
        <f>Juli!M38</f>
        <v>3515990</v>
      </c>
      <c r="J38" s="190">
        <f>Juli!N38</f>
        <v>60.360343347639486</v>
      </c>
      <c r="K38" s="21"/>
      <c r="L38" s="20">
        <f t="shared" si="7"/>
        <v>0</v>
      </c>
      <c r="M38" s="21">
        <f t="shared" si="5"/>
        <v>3515990</v>
      </c>
      <c r="N38" s="20">
        <f t="shared" si="8"/>
        <v>60.360343347639486</v>
      </c>
      <c r="O38" s="22">
        <v>64.33</v>
      </c>
      <c r="P38" s="21">
        <f t="shared" si="9"/>
        <v>2309010</v>
      </c>
    </row>
    <row r="39" spans="1:16" s="3" customFormat="1" ht="22.5" customHeight="1">
      <c r="A39" s="214">
        <v>2</v>
      </c>
      <c r="B39" s="214">
        <v>8</v>
      </c>
      <c r="C39" s="214">
        <v>1</v>
      </c>
      <c r="D39" s="215" t="s">
        <v>24</v>
      </c>
      <c r="E39" s="214">
        <v>9</v>
      </c>
      <c r="F39" s="216" t="s">
        <v>64</v>
      </c>
      <c r="G39" s="217">
        <v>570225900</v>
      </c>
      <c r="H39" s="18">
        <f t="shared" si="0"/>
        <v>4.2740941422269002E-2</v>
      </c>
      <c r="I39" s="21">
        <f>Juli!M39</f>
        <v>82811838</v>
      </c>
      <c r="J39" s="190">
        <f>Juli!N39</f>
        <v>14.522637081198871</v>
      </c>
      <c r="K39" s="21"/>
      <c r="L39" s="20">
        <f>K39/G39*100</f>
        <v>0</v>
      </c>
      <c r="M39" s="21">
        <f>I39+K39</f>
        <v>82811838</v>
      </c>
      <c r="N39" s="20">
        <f>M39/G39*100</f>
        <v>14.522637081198871</v>
      </c>
      <c r="O39" s="22">
        <v>18.55</v>
      </c>
      <c r="P39" s="21">
        <f t="shared" si="9"/>
        <v>487414062</v>
      </c>
    </row>
    <row r="40" spans="1:16" s="3" customFormat="1" ht="22.5" customHeight="1">
      <c r="A40" s="214">
        <v>2</v>
      </c>
      <c r="B40" s="214">
        <v>8</v>
      </c>
      <c r="C40" s="214">
        <v>1</v>
      </c>
      <c r="D40" s="215" t="s">
        <v>24</v>
      </c>
      <c r="E40" s="214">
        <v>10</v>
      </c>
      <c r="F40" s="218" t="s">
        <v>118</v>
      </c>
      <c r="G40" s="217">
        <v>2961650</v>
      </c>
      <c r="H40" s="18">
        <f t="shared" si="0"/>
        <v>2.2198870511364529E-4</v>
      </c>
      <c r="I40" s="21">
        <f>Juli!M40</f>
        <v>1394800</v>
      </c>
      <c r="J40" s="190">
        <f>Juli!N40</f>
        <v>47.095369135448145</v>
      </c>
      <c r="K40" s="21"/>
      <c r="L40" s="20">
        <f>K40/G40*100</f>
        <v>0</v>
      </c>
      <c r="M40" s="21">
        <f>I40+K40</f>
        <v>1394800</v>
      </c>
      <c r="N40" s="20">
        <f>M40/G40*100</f>
        <v>47.095369135448145</v>
      </c>
      <c r="O40" s="22">
        <v>50.54</v>
      </c>
      <c r="P40" s="21">
        <f t="shared" si="9"/>
        <v>1566850</v>
      </c>
    </row>
    <row r="41" spans="1:16" s="3" customFormat="1" ht="22.5" customHeight="1">
      <c r="A41" s="5">
        <v>2</v>
      </c>
      <c r="B41" s="5">
        <v>8</v>
      </c>
      <c r="C41" s="5">
        <v>1</v>
      </c>
      <c r="D41" s="6" t="s">
        <v>116</v>
      </c>
      <c r="E41" s="5"/>
      <c r="F41" s="167" t="s">
        <v>117</v>
      </c>
      <c r="G41" s="45">
        <f>SUM(G42:G44)</f>
        <v>9000000</v>
      </c>
      <c r="H41" s="9">
        <f t="shared" si="0"/>
        <v>6.7458961930775326E-4</v>
      </c>
      <c r="I41" s="8">
        <f>Juli!M41</f>
        <v>9000000</v>
      </c>
      <c r="J41" s="11">
        <f>Juli!N41</f>
        <v>100</v>
      </c>
      <c r="K41" s="45">
        <f>SUM(K42:K44)</f>
        <v>0</v>
      </c>
      <c r="L41" s="12">
        <f>K41/G41*100</f>
        <v>0</v>
      </c>
      <c r="M41" s="8">
        <f>I41+K41</f>
        <v>9000000</v>
      </c>
      <c r="N41" s="12">
        <f>M41/G41*100</f>
        <v>100</v>
      </c>
      <c r="O41" s="13">
        <v>100</v>
      </c>
      <c r="P41" s="8">
        <f>G41-M41</f>
        <v>0</v>
      </c>
    </row>
    <row r="42" spans="1:16" s="3" customFormat="1" ht="22.5" customHeight="1">
      <c r="A42" s="214">
        <v>2</v>
      </c>
      <c r="B42" s="214">
        <v>8</v>
      </c>
      <c r="C42" s="214">
        <v>1</v>
      </c>
      <c r="D42" s="215" t="s">
        <v>116</v>
      </c>
      <c r="E42" s="214">
        <v>2</v>
      </c>
      <c r="F42" s="218" t="s">
        <v>143</v>
      </c>
      <c r="G42" s="217">
        <v>0</v>
      </c>
      <c r="H42" s="18">
        <f t="shared" si="0"/>
        <v>0</v>
      </c>
      <c r="I42" s="21">
        <f>Juli!M42</f>
        <v>0</v>
      </c>
      <c r="J42" s="190" t="e">
        <f>Juli!N42</f>
        <v>#DIV/0!</v>
      </c>
      <c r="K42" s="164"/>
      <c r="L42" s="20" t="e">
        <f t="shared" ref="L42:L53" si="10">K42/G42*100</f>
        <v>#DIV/0!</v>
      </c>
      <c r="M42" s="30"/>
      <c r="N42" s="20" t="e">
        <f t="shared" ref="N42:N53" si="11">M42/G42*100</f>
        <v>#DIV/0!</v>
      </c>
      <c r="O42" s="22">
        <v>0</v>
      </c>
      <c r="P42" s="21">
        <f>G42-M42</f>
        <v>0</v>
      </c>
    </row>
    <row r="43" spans="1:16" s="3" customFormat="1" ht="22.5" customHeight="1">
      <c r="A43" s="214">
        <v>2</v>
      </c>
      <c r="B43" s="214">
        <v>8</v>
      </c>
      <c r="C43" s="214">
        <v>1</v>
      </c>
      <c r="D43" s="215" t="s">
        <v>116</v>
      </c>
      <c r="E43" s="214">
        <v>5</v>
      </c>
      <c r="F43" s="218" t="s">
        <v>144</v>
      </c>
      <c r="G43" s="217">
        <v>0</v>
      </c>
      <c r="H43" s="18">
        <f t="shared" si="0"/>
        <v>0</v>
      </c>
      <c r="I43" s="21">
        <f>Juli!M43</f>
        <v>0</v>
      </c>
      <c r="J43" s="190" t="e">
        <f>Juli!N43</f>
        <v>#DIV/0!</v>
      </c>
      <c r="K43" s="164"/>
      <c r="L43" s="20" t="e">
        <f t="shared" si="10"/>
        <v>#DIV/0!</v>
      </c>
      <c r="M43" s="30"/>
      <c r="N43" s="20" t="e">
        <f t="shared" si="11"/>
        <v>#DIV/0!</v>
      </c>
      <c r="O43" s="22">
        <v>0</v>
      </c>
      <c r="P43" s="21">
        <f t="shared" ref="P43:P53" si="12">G43-M43</f>
        <v>0</v>
      </c>
    </row>
    <row r="44" spans="1:16" s="3" customFormat="1" ht="22.5" customHeight="1">
      <c r="A44" s="214">
        <v>2</v>
      </c>
      <c r="B44" s="214">
        <v>8</v>
      </c>
      <c r="C44" s="214">
        <v>1</v>
      </c>
      <c r="D44" s="215" t="s">
        <v>116</v>
      </c>
      <c r="E44" s="214">
        <v>6</v>
      </c>
      <c r="F44" s="218" t="s">
        <v>119</v>
      </c>
      <c r="G44" s="217">
        <v>9000000</v>
      </c>
      <c r="H44" s="18">
        <f t="shared" si="0"/>
        <v>6.7458961930775326E-4</v>
      </c>
      <c r="I44" s="21">
        <f>Juli!M44</f>
        <v>9000000</v>
      </c>
      <c r="J44" s="190">
        <f>Juli!N44</f>
        <v>100</v>
      </c>
      <c r="K44" s="21"/>
      <c r="L44" s="20">
        <f t="shared" si="10"/>
        <v>0</v>
      </c>
      <c r="M44" s="21">
        <f>I44+K44</f>
        <v>9000000</v>
      </c>
      <c r="N44" s="20">
        <f t="shared" si="11"/>
        <v>100</v>
      </c>
      <c r="O44" s="22">
        <v>100</v>
      </c>
      <c r="P44" s="21">
        <f t="shared" si="12"/>
        <v>0</v>
      </c>
    </row>
    <row r="45" spans="1:16" s="106" customFormat="1" ht="22.5" customHeight="1">
      <c r="A45" s="5">
        <v>2</v>
      </c>
      <c r="B45" s="5">
        <v>8</v>
      </c>
      <c r="C45" s="5">
        <v>1</v>
      </c>
      <c r="D45" s="6" t="s">
        <v>23</v>
      </c>
      <c r="E45" s="5"/>
      <c r="F45" s="7" t="s">
        <v>3</v>
      </c>
      <c r="G45" s="45">
        <f>SUM(G46:G49)</f>
        <v>502540377</v>
      </c>
      <c r="H45" s="9">
        <f t="shared" si="0"/>
        <v>3.7667613511911648E-2</v>
      </c>
      <c r="I45" s="8">
        <f>Juli!M45</f>
        <v>241761695</v>
      </c>
      <c r="J45" s="11">
        <f>Juli!N45</f>
        <v>48.107914520866451</v>
      </c>
      <c r="K45" s="45">
        <f>SUM(K46:K49)</f>
        <v>23400000</v>
      </c>
      <c r="L45" s="12">
        <f t="shared" si="10"/>
        <v>4.6563422703843758</v>
      </c>
      <c r="M45" s="8">
        <f t="shared" ref="M45:M53" si="13">I45+K45</f>
        <v>265161695</v>
      </c>
      <c r="N45" s="12">
        <f t="shared" si="11"/>
        <v>52.76425679125083</v>
      </c>
      <c r="O45" s="13">
        <v>55.33</v>
      </c>
      <c r="P45" s="8">
        <f t="shared" si="12"/>
        <v>237378682</v>
      </c>
    </row>
    <row r="46" spans="1:16" s="3" customFormat="1" ht="22.5" customHeight="1">
      <c r="A46" s="14">
        <v>2</v>
      </c>
      <c r="B46" s="14">
        <v>8</v>
      </c>
      <c r="C46" s="14">
        <v>1</v>
      </c>
      <c r="D46" s="15" t="s">
        <v>23</v>
      </c>
      <c r="E46" s="14">
        <v>1</v>
      </c>
      <c r="F46" s="16" t="s">
        <v>65</v>
      </c>
      <c r="G46" s="17">
        <v>1749600</v>
      </c>
      <c r="H46" s="18">
        <f t="shared" si="0"/>
        <v>1.3114022199342724E-4</v>
      </c>
      <c r="I46" s="21">
        <f>Juli!M46</f>
        <v>603940</v>
      </c>
      <c r="J46" s="190">
        <f>Juli!N46</f>
        <v>34.518747142203935</v>
      </c>
      <c r="K46" s="21"/>
      <c r="L46" s="20">
        <f t="shared" si="10"/>
        <v>0</v>
      </c>
      <c r="M46" s="21">
        <f t="shared" si="13"/>
        <v>603940</v>
      </c>
      <c r="N46" s="20">
        <f t="shared" si="11"/>
        <v>34.518747142203935</v>
      </c>
      <c r="O46" s="22">
        <v>36.450000000000003</v>
      </c>
      <c r="P46" s="21">
        <f t="shared" si="12"/>
        <v>1145660</v>
      </c>
    </row>
    <row r="47" spans="1:16" s="3" customFormat="1" ht="22.5" customHeight="1">
      <c r="A47" s="214">
        <v>2</v>
      </c>
      <c r="B47" s="214">
        <v>8</v>
      </c>
      <c r="C47" s="214">
        <v>1</v>
      </c>
      <c r="D47" s="215" t="s">
        <v>23</v>
      </c>
      <c r="E47" s="214">
        <v>2</v>
      </c>
      <c r="F47" s="216" t="s">
        <v>66</v>
      </c>
      <c r="G47" s="217">
        <v>114690777</v>
      </c>
      <c r="H47" s="18">
        <f t="shared" si="0"/>
        <v>8.5965786216156033E-3</v>
      </c>
      <c r="I47" s="21">
        <f>Juli!M47</f>
        <v>54666755</v>
      </c>
      <c r="J47" s="190">
        <f>Juli!N47</f>
        <v>47.664473491185781</v>
      </c>
      <c r="K47" s="21"/>
      <c r="L47" s="20">
        <f t="shared" si="10"/>
        <v>0</v>
      </c>
      <c r="M47" s="21">
        <f t="shared" si="13"/>
        <v>54666755</v>
      </c>
      <c r="N47" s="20">
        <f t="shared" si="11"/>
        <v>47.664473491185781</v>
      </c>
      <c r="O47" s="22">
        <v>50.15</v>
      </c>
      <c r="P47" s="21">
        <f t="shared" si="12"/>
        <v>60024022</v>
      </c>
    </row>
    <row r="48" spans="1:16" s="3" customFormat="1" ht="22.5" customHeight="1">
      <c r="A48" s="14">
        <v>2</v>
      </c>
      <c r="B48" s="14">
        <v>8</v>
      </c>
      <c r="C48" s="14">
        <v>1</v>
      </c>
      <c r="D48" s="15" t="s">
        <v>23</v>
      </c>
      <c r="E48" s="14">
        <v>3</v>
      </c>
      <c r="F48" s="16" t="s">
        <v>67</v>
      </c>
      <c r="G48" s="17">
        <v>36800000</v>
      </c>
      <c r="H48" s="18">
        <f t="shared" si="0"/>
        <v>2.758321998947258E-3</v>
      </c>
      <c r="I48" s="21">
        <f>Juli!M48</f>
        <v>14000000</v>
      </c>
      <c r="J48" s="190">
        <f>Juli!N48</f>
        <v>38.04347826086957</v>
      </c>
      <c r="K48" s="21"/>
      <c r="L48" s="20">
        <f t="shared" si="10"/>
        <v>0</v>
      </c>
      <c r="M48" s="21">
        <f t="shared" si="13"/>
        <v>14000000</v>
      </c>
      <c r="N48" s="20">
        <f t="shared" si="11"/>
        <v>38.04347826086957</v>
      </c>
      <c r="O48" s="22">
        <v>41.76</v>
      </c>
      <c r="P48" s="21">
        <f t="shared" si="12"/>
        <v>22800000</v>
      </c>
    </row>
    <row r="49" spans="1:16" s="3" customFormat="1" ht="22.5" customHeight="1">
      <c r="A49" s="214">
        <v>2</v>
      </c>
      <c r="B49" s="214">
        <v>8</v>
      </c>
      <c r="C49" s="214">
        <v>1</v>
      </c>
      <c r="D49" s="215" t="s">
        <v>23</v>
      </c>
      <c r="E49" s="214">
        <v>4</v>
      </c>
      <c r="F49" s="216" t="s">
        <v>68</v>
      </c>
      <c r="G49" s="217">
        <v>349300000</v>
      </c>
      <c r="H49" s="18">
        <f t="shared" si="0"/>
        <v>2.618157266935536E-2</v>
      </c>
      <c r="I49" s="21">
        <f>Juli!M49</f>
        <v>172491000</v>
      </c>
      <c r="J49" s="190">
        <f>Juli!N49</f>
        <v>49.381906670483829</v>
      </c>
      <c r="K49" s="24">
        <f>23400000</f>
        <v>23400000</v>
      </c>
      <c r="L49" s="20">
        <f t="shared" si="10"/>
        <v>6.6991125107357563</v>
      </c>
      <c r="M49" s="21">
        <f t="shared" si="13"/>
        <v>195891000</v>
      </c>
      <c r="N49" s="20">
        <f t="shared" si="11"/>
        <v>56.081019181219581</v>
      </c>
      <c r="O49" s="22">
        <v>60.33</v>
      </c>
      <c r="P49" s="21">
        <f t="shared" si="12"/>
        <v>153409000</v>
      </c>
    </row>
    <row r="50" spans="1:16" s="106" customFormat="1" ht="22.5" customHeight="1">
      <c r="A50" s="5">
        <v>2</v>
      </c>
      <c r="B50" s="5">
        <v>8</v>
      </c>
      <c r="C50" s="5">
        <v>1</v>
      </c>
      <c r="D50" s="6" t="s">
        <v>22</v>
      </c>
      <c r="E50" s="5"/>
      <c r="F50" s="7" t="s">
        <v>21</v>
      </c>
      <c r="G50" s="26">
        <f>SUM(G51:G53)</f>
        <v>128920000</v>
      </c>
      <c r="H50" s="9">
        <f t="shared" si="0"/>
        <v>9.6631215245728402E-3</v>
      </c>
      <c r="I50" s="8">
        <f>Juli!M50</f>
        <v>98445391</v>
      </c>
      <c r="J50" s="11">
        <f>Juli!N50</f>
        <v>76.361612627986347</v>
      </c>
      <c r="K50" s="26">
        <f>SUM(K51:K53)</f>
        <v>0</v>
      </c>
      <c r="L50" s="12">
        <f t="shared" si="10"/>
        <v>0</v>
      </c>
      <c r="M50" s="8">
        <f t="shared" si="13"/>
        <v>98445391</v>
      </c>
      <c r="N50" s="12">
        <f t="shared" si="11"/>
        <v>76.361612627986347</v>
      </c>
      <c r="O50" s="13">
        <v>80.44</v>
      </c>
      <c r="P50" s="8">
        <f t="shared" si="12"/>
        <v>30474609</v>
      </c>
    </row>
    <row r="51" spans="1:16" s="3" customFormat="1" ht="31.5" customHeight="1">
      <c r="A51" s="214">
        <v>2</v>
      </c>
      <c r="B51" s="214">
        <v>8</v>
      </c>
      <c r="C51" s="214">
        <v>1</v>
      </c>
      <c r="D51" s="215" t="s">
        <v>22</v>
      </c>
      <c r="E51" s="214">
        <v>1</v>
      </c>
      <c r="F51" s="216" t="s">
        <v>69</v>
      </c>
      <c r="G51" s="219">
        <v>113290000</v>
      </c>
      <c r="H51" s="18">
        <f t="shared" si="0"/>
        <v>8.4915842190417083E-3</v>
      </c>
      <c r="I51" s="21">
        <f>Juli!M51</f>
        <v>92795391</v>
      </c>
      <c r="J51" s="190">
        <f>Juli!N51</f>
        <v>81.909604554682673</v>
      </c>
      <c r="K51" s="21"/>
      <c r="L51" s="20">
        <f t="shared" si="10"/>
        <v>0</v>
      </c>
      <c r="M51" s="21">
        <f t="shared" si="13"/>
        <v>92795391</v>
      </c>
      <c r="N51" s="20">
        <f t="shared" si="11"/>
        <v>81.909604554682673</v>
      </c>
      <c r="O51" s="22">
        <v>85</v>
      </c>
      <c r="P51" s="21">
        <f t="shared" si="12"/>
        <v>20494609</v>
      </c>
    </row>
    <row r="52" spans="1:16" s="3" customFormat="1" ht="22.5" customHeight="1">
      <c r="A52" s="214">
        <v>2</v>
      </c>
      <c r="B52" s="214">
        <v>8</v>
      </c>
      <c r="C52" s="214">
        <v>1</v>
      </c>
      <c r="D52" s="215" t="s">
        <v>22</v>
      </c>
      <c r="E52" s="214">
        <v>6</v>
      </c>
      <c r="F52" s="216" t="s">
        <v>70</v>
      </c>
      <c r="G52" s="219">
        <v>8940000</v>
      </c>
      <c r="H52" s="18">
        <f t="shared" si="0"/>
        <v>6.700923551790349E-4</v>
      </c>
      <c r="I52" s="21">
        <f>Juli!M52</f>
        <v>5650000</v>
      </c>
      <c r="J52" s="190">
        <f>Juli!N52</f>
        <v>63.199105145413867</v>
      </c>
      <c r="K52" s="21"/>
      <c r="L52" s="20">
        <f t="shared" si="10"/>
        <v>0</v>
      </c>
      <c r="M52" s="21">
        <f t="shared" si="13"/>
        <v>5650000</v>
      </c>
      <c r="N52" s="20">
        <f t="shared" si="11"/>
        <v>63.199105145413867</v>
      </c>
      <c r="O52" s="22">
        <v>65.44</v>
      </c>
      <c r="P52" s="21">
        <f t="shared" si="12"/>
        <v>3290000</v>
      </c>
    </row>
    <row r="53" spans="1:16" s="3" customFormat="1" ht="22.5" customHeight="1">
      <c r="A53" s="214">
        <v>2</v>
      </c>
      <c r="B53" s="214">
        <v>8</v>
      </c>
      <c r="C53" s="214">
        <v>1</v>
      </c>
      <c r="D53" s="215" t="s">
        <v>22</v>
      </c>
      <c r="E53" s="214">
        <v>9</v>
      </c>
      <c r="F53" s="216" t="s">
        <v>88</v>
      </c>
      <c r="G53" s="219">
        <v>6690000</v>
      </c>
      <c r="H53" s="18">
        <f t="shared" si="0"/>
        <v>5.0144495035209658E-4</v>
      </c>
      <c r="I53" s="21">
        <f>Juli!M53</f>
        <v>0</v>
      </c>
      <c r="J53" s="190">
        <f>Juli!N53</f>
        <v>0</v>
      </c>
      <c r="K53" s="21">
        <v>0</v>
      </c>
      <c r="L53" s="20">
        <f t="shared" si="10"/>
        <v>0</v>
      </c>
      <c r="M53" s="30">
        <f t="shared" si="13"/>
        <v>0</v>
      </c>
      <c r="N53" s="29">
        <f t="shared" si="11"/>
        <v>0</v>
      </c>
      <c r="O53" s="22">
        <v>0</v>
      </c>
      <c r="P53" s="21">
        <f t="shared" si="12"/>
        <v>6690000</v>
      </c>
    </row>
    <row r="54" spans="1:16" s="146" customFormat="1" ht="31.5" customHeight="1">
      <c r="A54" s="130"/>
      <c r="B54" s="130"/>
      <c r="C54" s="130"/>
      <c r="D54" s="131"/>
      <c r="E54" s="130"/>
      <c r="F54" s="140" t="s">
        <v>108</v>
      </c>
      <c r="G54" s="144">
        <f>G55+G67+G72</f>
        <v>441320000</v>
      </c>
      <c r="H54" s="132"/>
      <c r="I54" s="138">
        <f>Juli!M54</f>
        <v>0</v>
      </c>
      <c r="J54" s="134">
        <f>Juli!N54</f>
        <v>0</v>
      </c>
      <c r="K54" s="136"/>
      <c r="L54" s="135"/>
      <c r="M54" s="138"/>
      <c r="N54" s="139"/>
      <c r="O54" s="143"/>
      <c r="P54" s="136"/>
    </row>
    <row r="55" spans="1:16" s="49" customFormat="1" ht="22.5" customHeight="1">
      <c r="A55" s="36">
        <v>2</v>
      </c>
      <c r="B55" s="36">
        <v>8</v>
      </c>
      <c r="C55" s="36">
        <v>2</v>
      </c>
      <c r="D55" s="37"/>
      <c r="E55" s="36"/>
      <c r="F55" s="38" t="s">
        <v>20</v>
      </c>
      <c r="G55" s="46">
        <f>G56+G58</f>
        <v>90265000</v>
      </c>
      <c r="H55" s="40">
        <f>+G55/$G$119*100%</f>
        <v>6.7657591096460393E-3</v>
      </c>
      <c r="I55" s="39">
        <f>Juli!M55</f>
        <v>44206600</v>
      </c>
      <c r="J55" s="42">
        <f>Juli!N55</f>
        <v>48.974242508170384</v>
      </c>
      <c r="K55" s="46">
        <f>K56+K58</f>
        <v>0</v>
      </c>
      <c r="L55" s="43">
        <f>K55/G55*100</f>
        <v>0</v>
      </c>
      <c r="M55" s="39">
        <f>I55+K55</f>
        <v>44206600</v>
      </c>
      <c r="N55" s="43">
        <f>M55/G55*100</f>
        <v>48.974242508170384</v>
      </c>
      <c r="O55" s="44">
        <v>50.43</v>
      </c>
      <c r="P55" s="39">
        <f>G55-M55</f>
        <v>46058400</v>
      </c>
    </row>
    <row r="56" spans="1:16" s="106" customFormat="1" ht="31.5" customHeight="1">
      <c r="A56" s="5">
        <v>2</v>
      </c>
      <c r="B56" s="5">
        <v>8</v>
      </c>
      <c r="C56" s="5">
        <v>2</v>
      </c>
      <c r="D56" s="6" t="s">
        <v>8</v>
      </c>
      <c r="E56" s="5"/>
      <c r="F56" s="7" t="s">
        <v>19</v>
      </c>
      <c r="G56" s="45">
        <f>SUM(G57:G57)</f>
        <v>17360000</v>
      </c>
      <c r="H56" s="9">
        <f>+G56/$G$119*100%</f>
        <v>1.3012084212425108E-3</v>
      </c>
      <c r="I56" s="8">
        <f>Juli!M56</f>
        <v>4210000</v>
      </c>
      <c r="J56" s="11">
        <f>Juli!N56</f>
        <v>24.251152073732719</v>
      </c>
      <c r="K56" s="45">
        <f>SUM(K57:K57)</f>
        <v>0</v>
      </c>
      <c r="L56" s="12">
        <f>K56/G56*100</f>
        <v>0</v>
      </c>
      <c r="M56" s="8">
        <f>I56+K56</f>
        <v>4210000</v>
      </c>
      <c r="N56" s="12">
        <f>M56/G56*100</f>
        <v>24.251152073732719</v>
      </c>
      <c r="O56" s="13">
        <v>26.43</v>
      </c>
      <c r="P56" s="8">
        <f>G56-M56</f>
        <v>13150000</v>
      </c>
    </row>
    <row r="57" spans="1:16" s="3" customFormat="1" ht="30" customHeight="1">
      <c r="A57" s="214">
        <v>2</v>
      </c>
      <c r="B57" s="214">
        <v>8</v>
      </c>
      <c r="C57" s="214">
        <v>2</v>
      </c>
      <c r="D57" s="215" t="s">
        <v>8</v>
      </c>
      <c r="E57" s="214">
        <v>7</v>
      </c>
      <c r="F57" s="218" t="s">
        <v>145</v>
      </c>
      <c r="G57" s="217">
        <v>17360000</v>
      </c>
      <c r="H57" s="18">
        <f>+G57/$G$119*100%</f>
        <v>1.3012084212425108E-3</v>
      </c>
      <c r="I57" s="21">
        <f>Juli!M57</f>
        <v>4210000</v>
      </c>
      <c r="J57" s="190">
        <f>Juli!N57</f>
        <v>24.251152073732719</v>
      </c>
      <c r="K57" s="21"/>
      <c r="L57" s="20">
        <f>K57/G57*100</f>
        <v>0</v>
      </c>
      <c r="M57" s="21">
        <f>I57+K57</f>
        <v>4210000</v>
      </c>
      <c r="N57" s="20">
        <f>M57/G57*100</f>
        <v>24.251152073732719</v>
      </c>
      <c r="O57" s="22">
        <v>26.43</v>
      </c>
      <c r="P57" s="21">
        <f>G57-M57</f>
        <v>13150000</v>
      </c>
    </row>
    <row r="58" spans="1:16" s="3" customFormat="1" ht="36" customHeight="1">
      <c r="A58" s="5">
        <v>2</v>
      </c>
      <c r="B58" s="5">
        <v>8</v>
      </c>
      <c r="C58" s="5">
        <v>2</v>
      </c>
      <c r="D58" s="6" t="s">
        <v>7</v>
      </c>
      <c r="E58" s="5"/>
      <c r="F58" s="7" t="s">
        <v>146</v>
      </c>
      <c r="G58" s="45">
        <f>SUM(G59:G59)</f>
        <v>72905000</v>
      </c>
      <c r="H58" s="9">
        <f>+G58/$G$119*100%</f>
        <v>5.4645506884035281E-3</v>
      </c>
      <c r="I58" s="8">
        <f>Juli!M58</f>
        <v>39996600</v>
      </c>
      <c r="J58" s="11">
        <f>Juli!N58</f>
        <v>54.8612578012482</v>
      </c>
      <c r="K58" s="45">
        <f>SUM(K59:K59)</f>
        <v>0</v>
      </c>
      <c r="L58" s="12">
        <f>K58/G58*100</f>
        <v>0</v>
      </c>
      <c r="M58" s="8">
        <f>I58+K58</f>
        <v>39996600</v>
      </c>
      <c r="N58" s="12">
        <f>M58/G58*100</f>
        <v>54.8612578012482</v>
      </c>
      <c r="O58" s="13">
        <v>58.43</v>
      </c>
      <c r="P58" s="8">
        <f>G58-M58</f>
        <v>32908400</v>
      </c>
    </row>
    <row r="59" spans="1:16" s="3" customFormat="1" ht="34.5" customHeight="1">
      <c r="A59" s="214">
        <v>2</v>
      </c>
      <c r="B59" s="214">
        <v>8</v>
      </c>
      <c r="C59" s="214">
        <v>2</v>
      </c>
      <c r="D59" s="215" t="s">
        <v>7</v>
      </c>
      <c r="E59" s="214">
        <v>3</v>
      </c>
      <c r="F59" s="218" t="s">
        <v>147</v>
      </c>
      <c r="G59" s="217">
        <v>72905000</v>
      </c>
      <c r="H59" s="18">
        <f>+G59/$G$119*100%</f>
        <v>5.4645506884035281E-3</v>
      </c>
      <c r="I59" s="21">
        <f>Juli!M59</f>
        <v>39996600</v>
      </c>
      <c r="J59" s="190">
        <f>Juli!N59</f>
        <v>54.8612578012482</v>
      </c>
      <c r="K59" s="21"/>
      <c r="L59" s="20">
        <f>K59/G59*100</f>
        <v>0</v>
      </c>
      <c r="M59" s="21">
        <f>I59+K59</f>
        <v>39996600</v>
      </c>
      <c r="N59" s="20">
        <f>M59/G59*100</f>
        <v>54.8612578012482</v>
      </c>
      <c r="O59" s="22">
        <v>58.43</v>
      </c>
      <c r="P59" s="21">
        <f>G59-M59</f>
        <v>32908400</v>
      </c>
    </row>
    <row r="60" spans="1:16" s="146" customFormat="1" ht="31.5" customHeight="1">
      <c r="A60" s="130"/>
      <c r="B60" s="130"/>
      <c r="C60" s="130"/>
      <c r="D60" s="131"/>
      <c r="E60" s="130"/>
      <c r="F60" s="140" t="s">
        <v>103</v>
      </c>
      <c r="G60" s="144">
        <f>G61</f>
        <v>145888000</v>
      </c>
      <c r="H60" s="132"/>
      <c r="I60" s="138">
        <f>Juli!M60</f>
        <v>0</v>
      </c>
      <c r="J60" s="134">
        <f>Juli!N60</f>
        <v>0</v>
      </c>
      <c r="K60" s="136"/>
      <c r="L60" s="135"/>
      <c r="M60" s="138"/>
      <c r="N60" s="139"/>
      <c r="O60" s="143"/>
      <c r="P60" s="136"/>
    </row>
    <row r="61" spans="1:16" s="49" customFormat="1" ht="22.5" customHeight="1">
      <c r="A61" s="36">
        <v>2</v>
      </c>
      <c r="B61" s="36">
        <v>8</v>
      </c>
      <c r="C61" s="36">
        <v>3</v>
      </c>
      <c r="D61" s="37"/>
      <c r="E61" s="36"/>
      <c r="F61" s="38" t="s">
        <v>2</v>
      </c>
      <c r="G61" s="47">
        <f>G62+G64</f>
        <v>145888000</v>
      </c>
      <c r="H61" s="40">
        <f t="shared" ref="H61:H74" si="14">+G61/$G$119*100%</f>
        <v>1.0934947820174391E-2</v>
      </c>
      <c r="I61" s="39">
        <f>Juli!M61</f>
        <v>43653060</v>
      </c>
      <c r="J61" s="42">
        <f>Juli!N61</f>
        <v>29.922310265409081</v>
      </c>
      <c r="K61" s="47">
        <f>K62+K64</f>
        <v>0</v>
      </c>
      <c r="L61" s="43">
        <f t="shared" ref="L61:L74" si="15">K61/G61*100</f>
        <v>0</v>
      </c>
      <c r="M61" s="39">
        <f t="shared" ref="M61:M74" si="16">I61+K61</f>
        <v>43653060</v>
      </c>
      <c r="N61" s="43">
        <f t="shared" ref="N61:N74" si="17">M61/G61*100</f>
        <v>29.922310265409081</v>
      </c>
      <c r="O61" s="44">
        <v>31.34</v>
      </c>
      <c r="P61" s="39">
        <f t="shared" ref="P61:P74" si="18">G61-M61</f>
        <v>102234940</v>
      </c>
    </row>
    <row r="62" spans="1:16" s="106" customFormat="1" ht="32.25" customHeight="1">
      <c r="A62" s="5">
        <v>2</v>
      </c>
      <c r="B62" s="5">
        <v>8</v>
      </c>
      <c r="C62" s="5">
        <v>3</v>
      </c>
      <c r="D62" s="6" t="s">
        <v>8</v>
      </c>
      <c r="E62" s="5"/>
      <c r="F62" s="7" t="s">
        <v>18</v>
      </c>
      <c r="G62" s="45">
        <f>G63</f>
        <v>123413000</v>
      </c>
      <c r="H62" s="9">
        <f t="shared" si="14"/>
        <v>9.250347631958639E-3</v>
      </c>
      <c r="I62" s="8">
        <f>Juli!M62</f>
        <v>37053060</v>
      </c>
      <c r="J62" s="11">
        <f>Juli!N62</f>
        <v>30.023627980844807</v>
      </c>
      <c r="K62" s="45">
        <f>K63</f>
        <v>0</v>
      </c>
      <c r="L62" s="12">
        <f t="shared" si="15"/>
        <v>0</v>
      </c>
      <c r="M62" s="8">
        <f t="shared" si="16"/>
        <v>37053060</v>
      </c>
      <c r="N62" s="12">
        <f t="shared" si="17"/>
        <v>30.023627980844807</v>
      </c>
      <c r="O62" s="13">
        <v>33.56</v>
      </c>
      <c r="P62" s="8">
        <f t="shared" si="18"/>
        <v>86359940</v>
      </c>
    </row>
    <row r="63" spans="1:16" s="3" customFormat="1" ht="32.25" customHeight="1">
      <c r="A63" s="214">
        <v>2</v>
      </c>
      <c r="B63" s="214">
        <v>8</v>
      </c>
      <c r="C63" s="214">
        <v>3</v>
      </c>
      <c r="D63" s="215" t="s">
        <v>8</v>
      </c>
      <c r="E63" s="214">
        <v>1</v>
      </c>
      <c r="F63" s="216" t="s">
        <v>71</v>
      </c>
      <c r="G63" s="217">
        <v>123413000</v>
      </c>
      <c r="H63" s="18">
        <f t="shared" si="14"/>
        <v>9.250347631958639E-3</v>
      </c>
      <c r="I63" s="21">
        <f>Juli!M63</f>
        <v>37053060</v>
      </c>
      <c r="J63" s="190">
        <f>Juli!N63</f>
        <v>30.023627980844807</v>
      </c>
      <c r="K63" s="21"/>
      <c r="L63" s="20">
        <f t="shared" si="15"/>
        <v>0</v>
      </c>
      <c r="M63" s="21">
        <f t="shared" si="16"/>
        <v>37053060</v>
      </c>
      <c r="N63" s="20">
        <f t="shared" si="17"/>
        <v>30.023627980844807</v>
      </c>
      <c r="O63" s="22">
        <v>33.56</v>
      </c>
      <c r="P63" s="21">
        <f t="shared" si="18"/>
        <v>86359940</v>
      </c>
    </row>
    <row r="64" spans="1:16" s="106" customFormat="1" ht="32.25" customHeight="1">
      <c r="A64" s="5">
        <v>2</v>
      </c>
      <c r="B64" s="5">
        <v>8</v>
      </c>
      <c r="C64" s="5">
        <v>3</v>
      </c>
      <c r="D64" s="6" t="s">
        <v>14</v>
      </c>
      <c r="E64" s="5"/>
      <c r="F64" s="7" t="s">
        <v>17</v>
      </c>
      <c r="G64" s="45">
        <f>G65+G66</f>
        <v>22475000</v>
      </c>
      <c r="H64" s="9">
        <f t="shared" si="14"/>
        <v>1.6846001882157506E-3</v>
      </c>
      <c r="I64" s="8">
        <f>Juli!M64</f>
        <v>6600000</v>
      </c>
      <c r="J64" s="11">
        <f>Juli!N64</f>
        <v>29.365962180200221</v>
      </c>
      <c r="K64" s="45">
        <f>K65+K66</f>
        <v>0</v>
      </c>
      <c r="L64" s="108">
        <f t="shared" si="15"/>
        <v>0</v>
      </c>
      <c r="M64" s="8">
        <f t="shared" si="16"/>
        <v>6600000</v>
      </c>
      <c r="N64" s="12">
        <f t="shared" si="17"/>
        <v>29.365962180200221</v>
      </c>
      <c r="O64" s="13">
        <v>34.35</v>
      </c>
      <c r="P64" s="8">
        <f t="shared" si="18"/>
        <v>15875000</v>
      </c>
    </row>
    <row r="65" spans="1:16" s="3" customFormat="1" ht="32.25" customHeight="1">
      <c r="A65" s="214">
        <v>2</v>
      </c>
      <c r="B65" s="214">
        <v>8</v>
      </c>
      <c r="C65" s="214">
        <v>3</v>
      </c>
      <c r="D65" s="215" t="s">
        <v>14</v>
      </c>
      <c r="E65" s="214">
        <v>2</v>
      </c>
      <c r="F65" s="216" t="s">
        <v>72</v>
      </c>
      <c r="G65" s="217">
        <v>22475000</v>
      </c>
      <c r="H65" s="18">
        <f t="shared" si="14"/>
        <v>1.6846001882157506E-3</v>
      </c>
      <c r="I65" s="21">
        <f>Juli!M65</f>
        <v>6600000</v>
      </c>
      <c r="J65" s="190">
        <f>Juli!N65</f>
        <v>29.365962180200221</v>
      </c>
      <c r="K65" s="21"/>
      <c r="L65" s="20">
        <f t="shared" si="15"/>
        <v>0</v>
      </c>
      <c r="M65" s="21">
        <f t="shared" si="16"/>
        <v>6600000</v>
      </c>
      <c r="N65" s="20">
        <f t="shared" si="17"/>
        <v>29.365962180200221</v>
      </c>
      <c r="O65" s="22">
        <v>34.35</v>
      </c>
      <c r="P65" s="21">
        <f t="shared" si="18"/>
        <v>15875000</v>
      </c>
    </row>
    <row r="66" spans="1:16" s="3" customFormat="1" ht="32.25" customHeight="1">
      <c r="A66" s="214">
        <v>2</v>
      </c>
      <c r="B66" s="214">
        <v>8</v>
      </c>
      <c r="C66" s="214">
        <v>3</v>
      </c>
      <c r="D66" s="215" t="s">
        <v>14</v>
      </c>
      <c r="E66" s="214">
        <v>3</v>
      </c>
      <c r="F66" s="216" t="s">
        <v>73</v>
      </c>
      <c r="G66" s="217">
        <v>0</v>
      </c>
      <c r="H66" s="18">
        <f t="shared" si="14"/>
        <v>0</v>
      </c>
      <c r="I66" s="21">
        <f>Juli!M66</f>
        <v>0</v>
      </c>
      <c r="J66" s="190" t="e">
        <f>Juli!N66</f>
        <v>#DIV/0!</v>
      </c>
      <c r="K66" s="21">
        <v>0</v>
      </c>
      <c r="L66" s="20" t="e">
        <f t="shared" si="15"/>
        <v>#DIV/0!</v>
      </c>
      <c r="M66" s="30">
        <f t="shared" si="16"/>
        <v>0</v>
      </c>
      <c r="N66" s="20" t="e">
        <f t="shared" si="17"/>
        <v>#DIV/0!</v>
      </c>
      <c r="O66" s="22"/>
      <c r="P66" s="21">
        <f t="shared" si="18"/>
        <v>0</v>
      </c>
    </row>
    <row r="67" spans="1:16" s="49" customFormat="1" ht="26.25" customHeight="1">
      <c r="A67" s="36">
        <v>2</v>
      </c>
      <c r="B67" s="36">
        <v>8</v>
      </c>
      <c r="C67" s="36">
        <v>4</v>
      </c>
      <c r="D67" s="37"/>
      <c r="E67" s="36"/>
      <c r="F67" s="38" t="s">
        <v>111</v>
      </c>
      <c r="G67" s="46">
        <f>G68+G70</f>
        <v>337220000</v>
      </c>
      <c r="H67" s="40">
        <f t="shared" si="14"/>
        <v>2.5276123491440063E-2</v>
      </c>
      <c r="I67" s="39">
        <f>Juli!M67</f>
        <v>17750000</v>
      </c>
      <c r="J67" s="42">
        <f>Juli!N67</f>
        <v>5.2636261194472445</v>
      </c>
      <c r="K67" s="46">
        <f>K68</f>
        <v>0</v>
      </c>
      <c r="L67" s="43">
        <f t="shared" si="15"/>
        <v>0</v>
      </c>
      <c r="M67" s="39">
        <f t="shared" si="16"/>
        <v>17750000</v>
      </c>
      <c r="N67" s="43">
        <f t="shared" si="17"/>
        <v>5.2636261194472445</v>
      </c>
      <c r="O67" s="48">
        <v>8.43</v>
      </c>
      <c r="P67" s="39">
        <f t="shared" si="18"/>
        <v>319470000</v>
      </c>
    </row>
    <row r="68" spans="1:16" s="106" customFormat="1" ht="35.25" customHeight="1">
      <c r="A68" s="5">
        <v>2</v>
      </c>
      <c r="B68" s="5">
        <v>8</v>
      </c>
      <c r="C68" s="5">
        <v>4</v>
      </c>
      <c r="D68" s="6" t="s">
        <v>8</v>
      </c>
      <c r="E68" s="5"/>
      <c r="F68" s="167" t="s">
        <v>121</v>
      </c>
      <c r="G68" s="45">
        <f>G69</f>
        <v>337220000</v>
      </c>
      <c r="H68" s="9">
        <f t="shared" si="14"/>
        <v>2.5276123491440063E-2</v>
      </c>
      <c r="I68" s="8">
        <f>Juli!M68</f>
        <v>17750000</v>
      </c>
      <c r="J68" s="11">
        <f>Juli!N68</f>
        <v>5.2636261194472445</v>
      </c>
      <c r="K68" s="45">
        <f>K69</f>
        <v>0</v>
      </c>
      <c r="L68" s="12">
        <f t="shared" si="15"/>
        <v>0</v>
      </c>
      <c r="M68" s="8">
        <f t="shared" si="16"/>
        <v>17750000</v>
      </c>
      <c r="N68" s="12">
        <f t="shared" si="17"/>
        <v>5.2636261194472445</v>
      </c>
      <c r="O68" s="13">
        <v>8.43</v>
      </c>
      <c r="P68" s="8">
        <f t="shared" si="18"/>
        <v>319470000</v>
      </c>
    </row>
    <row r="69" spans="1:16" s="3" customFormat="1" ht="34.5" customHeight="1">
      <c r="A69" s="214">
        <v>2</v>
      </c>
      <c r="B69" s="214">
        <v>8</v>
      </c>
      <c r="C69" s="214">
        <v>4</v>
      </c>
      <c r="D69" s="215" t="s">
        <v>8</v>
      </c>
      <c r="E69" s="214">
        <v>3</v>
      </c>
      <c r="F69" s="218" t="s">
        <v>148</v>
      </c>
      <c r="G69" s="217">
        <v>337220000</v>
      </c>
      <c r="H69" s="18">
        <f t="shared" si="14"/>
        <v>2.5276123491440063E-2</v>
      </c>
      <c r="I69" s="21">
        <f>Juli!M69</f>
        <v>17750000</v>
      </c>
      <c r="J69" s="190">
        <f>Juli!N69</f>
        <v>5.2636261194472445</v>
      </c>
      <c r="K69" s="21"/>
      <c r="L69" s="20">
        <f t="shared" si="15"/>
        <v>0</v>
      </c>
      <c r="M69" s="21">
        <f t="shared" si="16"/>
        <v>17750000</v>
      </c>
      <c r="N69" s="20">
        <f t="shared" si="17"/>
        <v>5.2636261194472445</v>
      </c>
      <c r="O69" s="22">
        <v>8.43</v>
      </c>
      <c r="P69" s="21">
        <f t="shared" si="18"/>
        <v>319470000</v>
      </c>
    </row>
    <row r="70" spans="1:16" s="3" customFormat="1" ht="36" customHeight="1">
      <c r="A70" s="5">
        <v>2</v>
      </c>
      <c r="B70" s="5">
        <v>8</v>
      </c>
      <c r="C70" s="5">
        <v>4</v>
      </c>
      <c r="D70" s="6" t="s">
        <v>7</v>
      </c>
      <c r="E70" s="5"/>
      <c r="F70" s="167" t="s">
        <v>149</v>
      </c>
      <c r="G70" s="45">
        <f>G71</f>
        <v>0</v>
      </c>
      <c r="H70" s="9">
        <f t="shared" si="14"/>
        <v>0</v>
      </c>
      <c r="I70" s="8">
        <f>Juli!M70</f>
        <v>0</v>
      </c>
      <c r="J70" s="11" t="e">
        <f>Juli!N70</f>
        <v>#DIV/0!</v>
      </c>
      <c r="K70" s="45">
        <f>K71</f>
        <v>0</v>
      </c>
      <c r="L70" s="108" t="e">
        <f t="shared" si="15"/>
        <v>#DIV/0!</v>
      </c>
      <c r="M70" s="8">
        <f t="shared" si="16"/>
        <v>0</v>
      </c>
      <c r="N70" s="12" t="e">
        <f t="shared" si="17"/>
        <v>#DIV/0!</v>
      </c>
      <c r="O70" s="13"/>
      <c r="P70" s="8">
        <f t="shared" si="18"/>
        <v>0</v>
      </c>
    </row>
    <row r="71" spans="1:16" s="3" customFormat="1" ht="32.25" customHeight="1">
      <c r="A71" s="214">
        <v>2</v>
      </c>
      <c r="B71" s="214">
        <v>8</v>
      </c>
      <c r="C71" s="214">
        <v>4</v>
      </c>
      <c r="D71" s="215" t="s">
        <v>7</v>
      </c>
      <c r="E71" s="214">
        <v>2</v>
      </c>
      <c r="F71" s="218" t="s">
        <v>150</v>
      </c>
      <c r="G71" s="217">
        <v>0</v>
      </c>
      <c r="H71" s="18">
        <f t="shared" si="14"/>
        <v>0</v>
      </c>
      <c r="I71" s="21">
        <f>Juli!M71</f>
        <v>0</v>
      </c>
      <c r="J71" s="190" t="e">
        <f>Juli!N71</f>
        <v>#DIV/0!</v>
      </c>
      <c r="K71" s="21">
        <v>0</v>
      </c>
      <c r="L71" s="20" t="e">
        <f t="shared" si="15"/>
        <v>#DIV/0!</v>
      </c>
      <c r="M71" s="21">
        <f t="shared" si="16"/>
        <v>0</v>
      </c>
      <c r="N71" s="20" t="e">
        <f t="shared" si="17"/>
        <v>#DIV/0!</v>
      </c>
      <c r="O71" s="22"/>
      <c r="P71" s="21">
        <f t="shared" si="18"/>
        <v>0</v>
      </c>
    </row>
    <row r="72" spans="1:16" s="3" customFormat="1" ht="32.25" customHeight="1">
      <c r="A72" s="36">
        <v>2</v>
      </c>
      <c r="B72" s="36">
        <v>8</v>
      </c>
      <c r="C72" s="36">
        <v>5</v>
      </c>
      <c r="D72" s="37"/>
      <c r="E72" s="36"/>
      <c r="F72" s="38" t="s">
        <v>151</v>
      </c>
      <c r="G72" s="46">
        <f>G73</f>
        <v>13835000</v>
      </c>
      <c r="H72" s="40">
        <f t="shared" si="14"/>
        <v>1.0369941536803075E-3</v>
      </c>
      <c r="I72" s="39">
        <f>Juli!M72</f>
        <v>6435000</v>
      </c>
      <c r="J72" s="42">
        <f>Juli!N72</f>
        <v>46.512468377303939</v>
      </c>
      <c r="K72" s="46">
        <f>+K73</f>
        <v>0</v>
      </c>
      <c r="L72" s="43">
        <f t="shared" si="15"/>
        <v>0</v>
      </c>
      <c r="M72" s="39">
        <f t="shared" si="16"/>
        <v>6435000</v>
      </c>
      <c r="N72" s="43">
        <f t="shared" si="17"/>
        <v>46.512468377303939</v>
      </c>
      <c r="O72" s="48">
        <v>50.34</v>
      </c>
      <c r="P72" s="39">
        <f t="shared" si="18"/>
        <v>7400000</v>
      </c>
    </row>
    <row r="73" spans="1:16" s="3" customFormat="1" ht="32.25" customHeight="1">
      <c r="A73" s="5">
        <v>2</v>
      </c>
      <c r="B73" s="5">
        <v>8</v>
      </c>
      <c r="C73" s="5">
        <v>5</v>
      </c>
      <c r="D73" s="6" t="s">
        <v>8</v>
      </c>
      <c r="E73" s="5"/>
      <c r="F73" s="167" t="s">
        <v>152</v>
      </c>
      <c r="G73" s="45">
        <f>G74</f>
        <v>13835000</v>
      </c>
      <c r="H73" s="9">
        <f t="shared" si="14"/>
        <v>1.0369941536803075E-3</v>
      </c>
      <c r="I73" s="8">
        <f>Juli!M73</f>
        <v>6435000</v>
      </c>
      <c r="J73" s="11">
        <f>Juli!N73</f>
        <v>46.512468377303939</v>
      </c>
      <c r="K73" s="45">
        <f>K74</f>
        <v>0</v>
      </c>
      <c r="L73" s="12">
        <f t="shared" si="15"/>
        <v>0</v>
      </c>
      <c r="M73" s="8">
        <f t="shared" si="16"/>
        <v>6435000</v>
      </c>
      <c r="N73" s="12">
        <f t="shared" si="17"/>
        <v>46.512468377303939</v>
      </c>
      <c r="O73" s="13">
        <v>50.34</v>
      </c>
      <c r="P73" s="8">
        <f t="shared" si="18"/>
        <v>7400000</v>
      </c>
    </row>
    <row r="74" spans="1:16" s="3" customFormat="1" ht="30.75" customHeight="1">
      <c r="A74" s="214">
        <v>2</v>
      </c>
      <c r="B74" s="214">
        <v>8</v>
      </c>
      <c r="C74" s="214">
        <v>5</v>
      </c>
      <c r="D74" s="215" t="s">
        <v>8</v>
      </c>
      <c r="E74" s="214">
        <v>1</v>
      </c>
      <c r="F74" s="218" t="s">
        <v>153</v>
      </c>
      <c r="G74" s="217">
        <v>13835000</v>
      </c>
      <c r="H74" s="18">
        <f t="shared" si="14"/>
        <v>1.0369941536803075E-3</v>
      </c>
      <c r="I74" s="21">
        <f>Juli!M74</f>
        <v>6435000</v>
      </c>
      <c r="J74" s="190">
        <f>Juli!N74</f>
        <v>46.512468377303939</v>
      </c>
      <c r="K74" s="21"/>
      <c r="L74" s="20">
        <f t="shared" si="15"/>
        <v>0</v>
      </c>
      <c r="M74" s="21">
        <f t="shared" si="16"/>
        <v>6435000</v>
      </c>
      <c r="N74" s="20">
        <f t="shared" si="17"/>
        <v>46.512468377303939</v>
      </c>
      <c r="O74" s="22">
        <v>50.34</v>
      </c>
      <c r="P74" s="21">
        <f t="shared" si="18"/>
        <v>7400000</v>
      </c>
    </row>
    <row r="75" spans="1:16" s="146" customFormat="1" ht="30" customHeight="1">
      <c r="A75" s="130"/>
      <c r="B75" s="130"/>
      <c r="C75" s="130"/>
      <c r="D75" s="131"/>
      <c r="E75" s="130"/>
      <c r="F75" s="140" t="s">
        <v>104</v>
      </c>
      <c r="G75" s="144">
        <f>G76</f>
        <v>171883200</v>
      </c>
      <c r="H75" s="132"/>
      <c r="I75" s="138">
        <f>Juli!M75</f>
        <v>0</v>
      </c>
      <c r="J75" s="134">
        <f>Juli!N75</f>
        <v>0</v>
      </c>
      <c r="K75" s="136"/>
      <c r="L75" s="135"/>
      <c r="M75" s="138"/>
      <c r="N75" s="139"/>
      <c r="O75" s="137"/>
      <c r="P75" s="136"/>
    </row>
    <row r="76" spans="1:16" s="49" customFormat="1" ht="23.25" customHeight="1">
      <c r="A76" s="36">
        <v>2</v>
      </c>
      <c r="B76" s="36">
        <v>8</v>
      </c>
      <c r="C76" s="36">
        <v>6</v>
      </c>
      <c r="D76" s="37"/>
      <c r="E76" s="36"/>
      <c r="F76" s="38" t="s">
        <v>16</v>
      </c>
      <c r="G76" s="46">
        <f>G77+G80</f>
        <v>171883200</v>
      </c>
      <c r="H76" s="40">
        <f t="shared" ref="H76:H81" si="19">+G76/$G$119*100%</f>
        <v>1.2883402494822047E-2</v>
      </c>
      <c r="I76" s="39">
        <f>Juli!M76</f>
        <v>54168700</v>
      </c>
      <c r="J76" s="42">
        <f>Juli!N76</f>
        <v>31.514831001517308</v>
      </c>
      <c r="K76" s="46">
        <f>+K77</f>
        <v>0</v>
      </c>
      <c r="L76" s="43">
        <f t="shared" ref="L76:L81" si="20">K76/G76*100</f>
        <v>0</v>
      </c>
      <c r="M76" s="39">
        <f t="shared" ref="M76:M81" si="21">I76+K76</f>
        <v>54168700</v>
      </c>
      <c r="N76" s="43">
        <f t="shared" ref="N76:N81" si="22">M76/G76*100</f>
        <v>31.514831001517308</v>
      </c>
      <c r="O76" s="44">
        <v>34.33</v>
      </c>
      <c r="P76" s="39">
        <f t="shared" ref="P76:P81" si="23">G76-M76</f>
        <v>117714500</v>
      </c>
    </row>
    <row r="77" spans="1:16" s="106" customFormat="1" ht="36" customHeight="1">
      <c r="A77" s="5">
        <v>2</v>
      </c>
      <c r="B77" s="5">
        <v>8</v>
      </c>
      <c r="C77" s="5">
        <v>6</v>
      </c>
      <c r="D77" s="6" t="s">
        <v>8</v>
      </c>
      <c r="E77" s="5"/>
      <c r="F77" s="7" t="s">
        <v>15</v>
      </c>
      <c r="G77" s="45">
        <f>G78+G79</f>
        <v>156094000</v>
      </c>
      <c r="H77" s="9">
        <f t="shared" si="19"/>
        <v>1.1699932448469383E-2</v>
      </c>
      <c r="I77" s="8">
        <f>Juli!M77</f>
        <v>54168700</v>
      </c>
      <c r="J77" s="11">
        <f>Juli!N77</f>
        <v>34.702615090906761</v>
      </c>
      <c r="K77" s="45">
        <f>K78+K79</f>
        <v>0</v>
      </c>
      <c r="L77" s="12">
        <f t="shared" si="20"/>
        <v>0</v>
      </c>
      <c r="M77" s="8">
        <f t="shared" si="21"/>
        <v>54168700</v>
      </c>
      <c r="N77" s="12">
        <f t="shared" si="22"/>
        <v>34.702615090906761</v>
      </c>
      <c r="O77" s="13">
        <v>37.56</v>
      </c>
      <c r="P77" s="8">
        <f t="shared" si="23"/>
        <v>101925300</v>
      </c>
    </row>
    <row r="78" spans="1:16" s="3" customFormat="1" ht="30" customHeight="1">
      <c r="A78" s="214">
        <v>2</v>
      </c>
      <c r="B78" s="214">
        <v>8</v>
      </c>
      <c r="C78" s="214">
        <v>6</v>
      </c>
      <c r="D78" s="215" t="s">
        <v>8</v>
      </c>
      <c r="E78" s="214">
        <v>2</v>
      </c>
      <c r="F78" s="218" t="s">
        <v>122</v>
      </c>
      <c r="G78" s="217">
        <v>88539900</v>
      </c>
      <c r="H78" s="18">
        <f t="shared" si="19"/>
        <v>6.6364552705051715E-3</v>
      </c>
      <c r="I78" s="21">
        <f>Juli!M78</f>
        <v>11095000</v>
      </c>
      <c r="J78" s="190">
        <f>Juli!N78</f>
        <v>12.53107356118541</v>
      </c>
      <c r="K78" s="21">
        <v>0</v>
      </c>
      <c r="L78" s="20">
        <f t="shared" si="20"/>
        <v>0</v>
      </c>
      <c r="M78" s="21">
        <f t="shared" si="21"/>
        <v>11095000</v>
      </c>
      <c r="N78" s="20">
        <f t="shared" si="22"/>
        <v>12.53107356118541</v>
      </c>
      <c r="O78" s="22">
        <v>15.34</v>
      </c>
      <c r="P78" s="21">
        <f t="shared" si="23"/>
        <v>77444900</v>
      </c>
    </row>
    <row r="79" spans="1:16" s="3" customFormat="1" ht="43.5" customHeight="1">
      <c r="A79" s="214">
        <v>2</v>
      </c>
      <c r="B79" s="214">
        <v>8</v>
      </c>
      <c r="C79" s="214">
        <v>6</v>
      </c>
      <c r="D79" s="215" t="s">
        <v>8</v>
      </c>
      <c r="E79" s="214">
        <v>3</v>
      </c>
      <c r="F79" s="218" t="s">
        <v>123</v>
      </c>
      <c r="G79" s="217">
        <v>67554100</v>
      </c>
      <c r="H79" s="18">
        <f t="shared" si="19"/>
        <v>5.0634771779642105E-3</v>
      </c>
      <c r="I79" s="21">
        <f>Juli!M79</f>
        <v>43073700</v>
      </c>
      <c r="J79" s="190">
        <f>Juli!N79</f>
        <v>63.761784998985995</v>
      </c>
      <c r="K79" s="21"/>
      <c r="L79" s="20">
        <f t="shared" si="20"/>
        <v>0</v>
      </c>
      <c r="M79" s="21">
        <f t="shared" si="21"/>
        <v>43073700</v>
      </c>
      <c r="N79" s="20">
        <f t="shared" si="22"/>
        <v>63.761784998985995</v>
      </c>
      <c r="O79" s="22">
        <v>66.569999999999993</v>
      </c>
      <c r="P79" s="21">
        <f t="shared" si="23"/>
        <v>24480400</v>
      </c>
    </row>
    <row r="80" spans="1:16" s="3" customFormat="1" ht="33.75" customHeight="1">
      <c r="A80" s="5">
        <v>2</v>
      </c>
      <c r="B80" s="5">
        <v>8</v>
      </c>
      <c r="C80" s="5">
        <v>6</v>
      </c>
      <c r="D80" s="6" t="s">
        <v>7</v>
      </c>
      <c r="E80" s="5"/>
      <c r="F80" s="167" t="s">
        <v>124</v>
      </c>
      <c r="G80" s="45">
        <f>G81</f>
        <v>15789200</v>
      </c>
      <c r="H80" s="9">
        <f t="shared" si="19"/>
        <v>1.1834700463526642E-3</v>
      </c>
      <c r="I80" s="8">
        <f>Juli!M80</f>
        <v>0</v>
      </c>
      <c r="J80" s="11">
        <f>Juli!N80</f>
        <v>0</v>
      </c>
      <c r="K80" s="45">
        <f>K81+K82</f>
        <v>0</v>
      </c>
      <c r="L80" s="108">
        <f t="shared" si="20"/>
        <v>0</v>
      </c>
      <c r="M80" s="8">
        <f t="shared" si="21"/>
        <v>0</v>
      </c>
      <c r="N80" s="12">
        <f t="shared" si="22"/>
        <v>0</v>
      </c>
      <c r="O80" s="13">
        <v>0</v>
      </c>
      <c r="P80" s="8">
        <f t="shared" si="23"/>
        <v>15789200</v>
      </c>
    </row>
    <row r="81" spans="1:16" s="3" customFormat="1" ht="27.75" customHeight="1">
      <c r="A81" s="214">
        <v>2</v>
      </c>
      <c r="B81" s="214">
        <v>8</v>
      </c>
      <c r="C81" s="214">
        <v>6</v>
      </c>
      <c r="D81" s="215" t="s">
        <v>7</v>
      </c>
      <c r="E81" s="214">
        <v>6</v>
      </c>
      <c r="F81" s="218" t="s">
        <v>125</v>
      </c>
      <c r="G81" s="217">
        <v>15789200</v>
      </c>
      <c r="H81" s="18">
        <f t="shared" si="19"/>
        <v>1.1834700463526642E-3</v>
      </c>
      <c r="I81" s="21">
        <f>Juli!M81</f>
        <v>0</v>
      </c>
      <c r="J81" s="190">
        <f>Juli!N81</f>
        <v>0</v>
      </c>
      <c r="K81" s="30">
        <v>0</v>
      </c>
      <c r="L81" s="20">
        <f t="shared" si="20"/>
        <v>0</v>
      </c>
      <c r="M81" s="30">
        <f t="shared" si="21"/>
        <v>0</v>
      </c>
      <c r="N81" s="29">
        <f t="shared" si="22"/>
        <v>0</v>
      </c>
      <c r="O81" s="22">
        <v>0</v>
      </c>
      <c r="P81" s="21">
        <f t="shared" si="23"/>
        <v>15789200</v>
      </c>
    </row>
    <row r="82" spans="1:16" s="3" customFormat="1" ht="30" customHeight="1">
      <c r="A82" s="130"/>
      <c r="B82" s="130"/>
      <c r="C82" s="130"/>
      <c r="D82" s="131"/>
      <c r="E82" s="130"/>
      <c r="F82" s="140" t="s">
        <v>105</v>
      </c>
      <c r="G82" s="144">
        <f>G83</f>
        <v>664592900</v>
      </c>
      <c r="H82" s="132"/>
      <c r="I82" s="138">
        <f>Juli!M82</f>
        <v>0</v>
      </c>
      <c r="J82" s="134">
        <f>Juli!N82</f>
        <v>0</v>
      </c>
      <c r="K82" s="136"/>
      <c r="L82" s="135"/>
      <c r="M82" s="138"/>
      <c r="N82" s="139"/>
      <c r="O82" s="143"/>
      <c r="P82" s="136"/>
    </row>
    <row r="83" spans="1:16" s="49" customFormat="1" ht="27" customHeight="1">
      <c r="A83" s="36">
        <v>2</v>
      </c>
      <c r="B83" s="36">
        <v>8</v>
      </c>
      <c r="C83" s="36">
        <v>7</v>
      </c>
      <c r="D83" s="37"/>
      <c r="E83" s="36"/>
      <c r="F83" s="38" t="s">
        <v>94</v>
      </c>
      <c r="G83" s="46">
        <f>G84+G86</f>
        <v>664592900</v>
      </c>
      <c r="H83" s="40">
        <f>+G83/$G$119*100%</f>
        <v>4.9814163489515083E-2</v>
      </c>
      <c r="I83" s="39">
        <f>Juli!M83</f>
        <v>301970900</v>
      </c>
      <c r="J83" s="42">
        <f>Juli!N83</f>
        <v>45.436973521685232</v>
      </c>
      <c r="K83" s="46">
        <f>K84+K86</f>
        <v>0</v>
      </c>
      <c r="L83" s="43">
        <f>K83/G83*100</f>
        <v>0</v>
      </c>
      <c r="M83" s="39">
        <f>I83+K83</f>
        <v>301970900</v>
      </c>
      <c r="N83" s="43">
        <f>M83/G83*100</f>
        <v>45.436973521685232</v>
      </c>
      <c r="O83" s="44">
        <v>48.88</v>
      </c>
      <c r="P83" s="39">
        <f>G83-M83</f>
        <v>362622000</v>
      </c>
    </row>
    <row r="84" spans="1:16" s="106" customFormat="1" ht="40.5" customHeight="1">
      <c r="A84" s="5">
        <v>2</v>
      </c>
      <c r="B84" s="5">
        <v>8</v>
      </c>
      <c r="C84" s="5">
        <v>7</v>
      </c>
      <c r="D84" s="6" t="s">
        <v>8</v>
      </c>
      <c r="E84" s="5"/>
      <c r="F84" s="7" t="s">
        <v>43</v>
      </c>
      <c r="G84" s="45">
        <f>G85</f>
        <v>616072900</v>
      </c>
      <c r="H84" s="9">
        <f>+G84/$G$119*100%</f>
        <v>4.6177375897424842E-2</v>
      </c>
      <c r="I84" s="8">
        <f>Juli!M84</f>
        <v>286580900</v>
      </c>
      <c r="J84" s="11">
        <f>Juli!N84</f>
        <v>46.517368317937695</v>
      </c>
      <c r="K84" s="45">
        <f>K85</f>
        <v>0</v>
      </c>
      <c r="L84" s="12">
        <f>K84/G84*100</f>
        <v>0</v>
      </c>
      <c r="M84" s="8">
        <f>I84+K84</f>
        <v>286580900</v>
      </c>
      <c r="N84" s="12">
        <f>M84/G84*100</f>
        <v>46.517368317937695</v>
      </c>
      <c r="O84" s="13">
        <v>50.43</v>
      </c>
      <c r="P84" s="8">
        <f>G84-M84</f>
        <v>329492000</v>
      </c>
    </row>
    <row r="85" spans="1:16" s="3" customFormat="1" ht="40.5" customHeight="1">
      <c r="A85" s="214">
        <v>2</v>
      </c>
      <c r="B85" s="214">
        <v>8</v>
      </c>
      <c r="C85" s="214">
        <v>7</v>
      </c>
      <c r="D85" s="215" t="s">
        <v>8</v>
      </c>
      <c r="E85" s="214">
        <v>2</v>
      </c>
      <c r="F85" s="216" t="s">
        <v>82</v>
      </c>
      <c r="G85" s="217">
        <v>616072900</v>
      </c>
      <c r="H85" s="18">
        <f>+G85/$G$119*100%</f>
        <v>4.6177375897424842E-2</v>
      </c>
      <c r="I85" s="21">
        <f>Juli!M85</f>
        <v>286580900</v>
      </c>
      <c r="J85" s="190">
        <f>Juli!N85</f>
        <v>46.517368317937695</v>
      </c>
      <c r="K85" s="21"/>
      <c r="L85" s="20">
        <f>K85/G85*100</f>
        <v>0</v>
      </c>
      <c r="M85" s="21">
        <f>I85+K85</f>
        <v>286580900</v>
      </c>
      <c r="N85" s="20">
        <f>M85/G85*100</f>
        <v>46.517368317937695</v>
      </c>
      <c r="O85" s="22">
        <v>50.43</v>
      </c>
      <c r="P85" s="21">
        <f>G85-M85</f>
        <v>329492000</v>
      </c>
    </row>
    <row r="86" spans="1:16" s="106" customFormat="1" ht="48.75" customHeight="1">
      <c r="A86" s="5">
        <v>2</v>
      </c>
      <c r="B86" s="5">
        <v>8</v>
      </c>
      <c r="C86" s="5">
        <v>7</v>
      </c>
      <c r="D86" s="6" t="s">
        <v>14</v>
      </c>
      <c r="E86" s="5"/>
      <c r="F86" s="7" t="s">
        <v>13</v>
      </c>
      <c r="G86" s="45">
        <f>G87</f>
        <v>48520000</v>
      </c>
      <c r="H86" s="9">
        <f>+G86/$G$119*100%</f>
        <v>3.6367875920902434E-3</v>
      </c>
      <c r="I86" s="8">
        <f>Juli!M86</f>
        <v>15390000</v>
      </c>
      <c r="J86" s="11">
        <f>Juli!N86</f>
        <v>31.718878812860673</v>
      </c>
      <c r="K86" s="45">
        <f>K87</f>
        <v>0</v>
      </c>
      <c r="L86" s="12">
        <f>K86/G86*100</f>
        <v>0</v>
      </c>
      <c r="M86" s="8">
        <f>I86+K86</f>
        <v>15390000</v>
      </c>
      <c r="N86" s="12">
        <f>M86/G86*100</f>
        <v>31.718878812860673</v>
      </c>
      <c r="O86" s="13">
        <v>35.76</v>
      </c>
      <c r="P86" s="8">
        <f>G86-M86</f>
        <v>33130000</v>
      </c>
    </row>
    <row r="87" spans="1:16" s="3" customFormat="1" ht="40.5" customHeight="1">
      <c r="A87" s="214">
        <v>2</v>
      </c>
      <c r="B87" s="214">
        <v>8</v>
      </c>
      <c r="C87" s="214">
        <v>7</v>
      </c>
      <c r="D87" s="215" t="s">
        <v>14</v>
      </c>
      <c r="E87" s="214">
        <v>8</v>
      </c>
      <c r="F87" s="218" t="s">
        <v>126</v>
      </c>
      <c r="G87" s="217">
        <v>48520000</v>
      </c>
      <c r="H87" s="18">
        <f>+G87/$G$119*100%</f>
        <v>3.6367875920902434E-3</v>
      </c>
      <c r="I87" s="21">
        <f>Juli!M87</f>
        <v>15390000</v>
      </c>
      <c r="J87" s="190">
        <f>Juli!N87</f>
        <v>31.718878812860673</v>
      </c>
      <c r="K87" s="21"/>
      <c r="L87" s="20">
        <f>K87/G87*100</f>
        <v>0</v>
      </c>
      <c r="M87" s="21">
        <f>I87+K87</f>
        <v>15390000</v>
      </c>
      <c r="N87" s="20">
        <f>M87/G87*100</f>
        <v>31.718878812860673</v>
      </c>
      <c r="O87" s="22">
        <v>35.76</v>
      </c>
      <c r="P87" s="21">
        <f>G87-M87</f>
        <v>33130000</v>
      </c>
    </row>
    <row r="88" spans="1:16" s="146" customFormat="1" ht="35.25" customHeight="1">
      <c r="A88" s="130"/>
      <c r="B88" s="130"/>
      <c r="C88" s="130"/>
      <c r="D88" s="131"/>
      <c r="E88" s="130"/>
      <c r="F88" s="140" t="s">
        <v>106</v>
      </c>
      <c r="G88" s="144">
        <f>G89+G95+G98</f>
        <v>619715450</v>
      </c>
      <c r="H88" s="132"/>
      <c r="I88" s="138">
        <f>Juli!M88</f>
        <v>0</v>
      </c>
      <c r="J88" s="134">
        <f>Juli!N88</f>
        <v>0</v>
      </c>
      <c r="K88" s="136"/>
      <c r="L88" s="135"/>
      <c r="M88" s="138"/>
      <c r="N88" s="139"/>
      <c r="O88" s="143"/>
      <c r="P88" s="136"/>
    </row>
    <row r="89" spans="1:16" s="49" customFormat="1" ht="31.5" customHeight="1">
      <c r="A89" s="36">
        <v>2</v>
      </c>
      <c r="B89" s="36">
        <v>14</v>
      </c>
      <c r="C89" s="36">
        <v>2</v>
      </c>
      <c r="D89" s="37"/>
      <c r="E89" s="36"/>
      <c r="F89" s="38" t="s">
        <v>12</v>
      </c>
      <c r="G89" s="46">
        <f>G90+G93</f>
        <v>87702450</v>
      </c>
      <c r="H89" s="40">
        <f>+G89/$G$119*100%</f>
        <v>6.5736847064285855E-3</v>
      </c>
      <c r="I89" s="39">
        <f>Juli!M89</f>
        <v>33228410</v>
      </c>
      <c r="J89" s="42">
        <f>Juli!N89</f>
        <v>37.887664483717387</v>
      </c>
      <c r="K89" s="46">
        <f>K90</f>
        <v>0</v>
      </c>
      <c r="L89" s="43">
        <f t="shared" ref="L89:L103" si="24">K89/G89*100</f>
        <v>0</v>
      </c>
      <c r="M89" s="39">
        <f t="shared" ref="M89:M103" si="25">I89+K89</f>
        <v>33228410</v>
      </c>
      <c r="N89" s="43">
        <f t="shared" ref="N89:N103" si="26">M89/G89*100</f>
        <v>37.887664483717387</v>
      </c>
      <c r="O89" s="44">
        <v>40.67</v>
      </c>
      <c r="P89" s="39">
        <f t="shared" ref="P89:P103" si="27">G89-M89</f>
        <v>54474040</v>
      </c>
    </row>
    <row r="90" spans="1:16" s="106" customFormat="1" ht="40.5" customHeight="1">
      <c r="A90" s="5">
        <v>2</v>
      </c>
      <c r="B90" s="5">
        <v>14</v>
      </c>
      <c r="C90" s="5">
        <v>2</v>
      </c>
      <c r="D90" s="6" t="s">
        <v>8</v>
      </c>
      <c r="E90" s="5"/>
      <c r="F90" s="7" t="s">
        <v>11</v>
      </c>
      <c r="G90" s="45">
        <f>G91+G92</f>
        <v>77032450</v>
      </c>
      <c r="H90" s="9">
        <f>+G90/$G$119*100%</f>
        <v>5.773921235538171E-3</v>
      </c>
      <c r="I90" s="8">
        <f>Juli!M90</f>
        <v>33228410</v>
      </c>
      <c r="J90" s="11">
        <f>Juli!N90</f>
        <v>43.135600646221171</v>
      </c>
      <c r="K90" s="45">
        <f>SUM(K91:K92)</f>
        <v>0</v>
      </c>
      <c r="L90" s="12">
        <f t="shared" si="24"/>
        <v>0</v>
      </c>
      <c r="M90" s="8">
        <f t="shared" si="25"/>
        <v>33228410</v>
      </c>
      <c r="N90" s="12">
        <f t="shared" si="26"/>
        <v>43.135600646221171</v>
      </c>
      <c r="O90" s="13">
        <v>45.32</v>
      </c>
      <c r="P90" s="8">
        <f t="shared" si="27"/>
        <v>43804040</v>
      </c>
    </row>
    <row r="91" spans="1:16" s="3" customFormat="1" ht="25.5" customHeight="1">
      <c r="A91" s="214">
        <v>2</v>
      </c>
      <c r="B91" s="214">
        <v>14</v>
      </c>
      <c r="C91" s="214">
        <v>2</v>
      </c>
      <c r="D91" s="215" t="s">
        <v>8</v>
      </c>
      <c r="E91" s="214">
        <v>3</v>
      </c>
      <c r="F91" s="216" t="s">
        <v>89</v>
      </c>
      <c r="G91" s="217">
        <v>30736450</v>
      </c>
      <c r="H91" s="18">
        <f>+G91/$G$119*100%</f>
        <v>2.3038322338190882E-3</v>
      </c>
      <c r="I91" s="21">
        <f>Juli!M91</f>
        <v>10075000</v>
      </c>
      <c r="J91" s="190">
        <f>Juli!N91</f>
        <v>32.778671577231592</v>
      </c>
      <c r="K91" s="21"/>
      <c r="L91" s="20">
        <f t="shared" si="24"/>
        <v>0</v>
      </c>
      <c r="M91" s="21">
        <f t="shared" si="25"/>
        <v>10075000</v>
      </c>
      <c r="N91" s="20">
        <f t="shared" si="26"/>
        <v>32.778671577231592</v>
      </c>
      <c r="O91" s="22">
        <v>35.549999999999997</v>
      </c>
      <c r="P91" s="21">
        <f t="shared" si="27"/>
        <v>20661450</v>
      </c>
    </row>
    <row r="92" spans="1:16" s="3" customFormat="1" ht="47.25" customHeight="1">
      <c r="A92" s="214">
        <v>2</v>
      </c>
      <c r="B92" s="214">
        <v>14</v>
      </c>
      <c r="C92" s="214">
        <v>2</v>
      </c>
      <c r="D92" s="215" t="s">
        <v>8</v>
      </c>
      <c r="E92" s="214">
        <v>7</v>
      </c>
      <c r="F92" s="216" t="s">
        <v>154</v>
      </c>
      <c r="G92" s="217">
        <v>46296000</v>
      </c>
      <c r="H92" s="18">
        <f>+G92/$G$119*100%</f>
        <v>3.4700890017190828E-3</v>
      </c>
      <c r="I92" s="21">
        <f>Juli!M92</f>
        <v>23153410</v>
      </c>
      <c r="J92" s="190">
        <f>Juli!N92</f>
        <v>50.011685674788318</v>
      </c>
      <c r="K92" s="21"/>
      <c r="L92" s="20">
        <f t="shared" si="24"/>
        <v>0</v>
      </c>
      <c r="M92" s="21">
        <f t="shared" si="25"/>
        <v>23153410</v>
      </c>
      <c r="N92" s="20">
        <f t="shared" si="26"/>
        <v>50.011685674788318</v>
      </c>
      <c r="O92" s="22">
        <v>53.12</v>
      </c>
      <c r="P92" s="21">
        <f t="shared" si="27"/>
        <v>23142590</v>
      </c>
    </row>
    <row r="93" spans="1:16" s="3" customFormat="1" ht="27" customHeight="1">
      <c r="A93" s="5">
        <v>2</v>
      </c>
      <c r="B93" s="5">
        <v>14</v>
      </c>
      <c r="C93" s="5">
        <v>2</v>
      </c>
      <c r="D93" s="6" t="s">
        <v>7</v>
      </c>
      <c r="E93" s="5"/>
      <c r="F93" s="7" t="s">
        <v>156</v>
      </c>
      <c r="G93" s="45">
        <f>G94</f>
        <v>10670000</v>
      </c>
      <c r="H93" s="9">
        <f t="shared" ref="H93:H103" si="28">+G93/$G$119*100%</f>
        <v>7.9976347089041422E-4</v>
      </c>
      <c r="I93" s="8">
        <f>Juli!M93</f>
        <v>0</v>
      </c>
      <c r="J93" s="11">
        <f>Juli!N93</f>
        <v>0</v>
      </c>
      <c r="K93" s="45">
        <f>K94</f>
        <v>0</v>
      </c>
      <c r="L93" s="108">
        <f t="shared" si="24"/>
        <v>0</v>
      </c>
      <c r="M93" s="8">
        <f t="shared" si="25"/>
        <v>0</v>
      </c>
      <c r="N93" s="12">
        <f t="shared" si="26"/>
        <v>0</v>
      </c>
      <c r="O93" s="13">
        <v>0</v>
      </c>
      <c r="P93" s="8">
        <f t="shared" si="27"/>
        <v>10670000</v>
      </c>
    </row>
    <row r="94" spans="1:16" s="3" customFormat="1" ht="29.25" customHeight="1">
      <c r="A94" s="214">
        <v>2</v>
      </c>
      <c r="B94" s="214">
        <v>14</v>
      </c>
      <c r="C94" s="214">
        <v>2</v>
      </c>
      <c r="D94" s="215" t="s">
        <v>7</v>
      </c>
      <c r="E94" s="214">
        <v>2</v>
      </c>
      <c r="F94" s="216" t="s">
        <v>155</v>
      </c>
      <c r="G94" s="217">
        <v>10670000</v>
      </c>
      <c r="H94" s="18">
        <f t="shared" si="28"/>
        <v>7.9976347089041422E-4</v>
      </c>
      <c r="I94" s="21">
        <f>Juli!M94</f>
        <v>0</v>
      </c>
      <c r="J94" s="190">
        <f>Juli!N94</f>
        <v>0</v>
      </c>
      <c r="K94" s="21">
        <v>0</v>
      </c>
      <c r="L94" s="20">
        <f t="shared" si="24"/>
        <v>0</v>
      </c>
      <c r="M94" s="30">
        <f t="shared" si="25"/>
        <v>0</v>
      </c>
      <c r="N94" s="29">
        <f t="shared" si="26"/>
        <v>0</v>
      </c>
      <c r="O94" s="22">
        <v>0</v>
      </c>
      <c r="P94" s="21">
        <f t="shared" si="27"/>
        <v>10670000</v>
      </c>
    </row>
    <row r="95" spans="1:16" s="49" customFormat="1" ht="26.25" customHeight="1">
      <c r="A95" s="36">
        <v>2</v>
      </c>
      <c r="B95" s="36">
        <v>14</v>
      </c>
      <c r="C95" s="36">
        <v>3</v>
      </c>
      <c r="D95" s="37"/>
      <c r="E95" s="36"/>
      <c r="F95" s="38" t="s">
        <v>10</v>
      </c>
      <c r="G95" s="46">
        <f>G96</f>
        <v>17599000</v>
      </c>
      <c r="H95" s="40">
        <f t="shared" si="28"/>
        <v>1.319122523355239E-3</v>
      </c>
      <c r="I95" s="39">
        <f>Juli!M95</f>
        <v>0</v>
      </c>
      <c r="J95" s="42">
        <f>Juli!N95</f>
        <v>0</v>
      </c>
      <c r="K95" s="46">
        <f>K96</f>
        <v>0</v>
      </c>
      <c r="L95" s="109">
        <f t="shared" si="24"/>
        <v>0</v>
      </c>
      <c r="M95" s="39">
        <f t="shared" si="25"/>
        <v>0</v>
      </c>
      <c r="N95" s="43">
        <f t="shared" si="26"/>
        <v>0</v>
      </c>
      <c r="O95" s="44">
        <v>0</v>
      </c>
      <c r="P95" s="39">
        <f t="shared" si="27"/>
        <v>17599000</v>
      </c>
    </row>
    <row r="96" spans="1:16" s="106" customFormat="1" ht="42.75" customHeight="1">
      <c r="A96" s="5">
        <v>2</v>
      </c>
      <c r="B96" s="5">
        <v>14</v>
      </c>
      <c r="C96" s="5">
        <v>3</v>
      </c>
      <c r="D96" s="6" t="s">
        <v>7</v>
      </c>
      <c r="E96" s="5"/>
      <c r="F96" s="167" t="s">
        <v>128</v>
      </c>
      <c r="G96" s="45">
        <f>G97</f>
        <v>17599000</v>
      </c>
      <c r="H96" s="9">
        <f t="shared" si="28"/>
        <v>1.319122523355239E-3</v>
      </c>
      <c r="I96" s="8">
        <f>Juli!M96</f>
        <v>0</v>
      </c>
      <c r="J96" s="11">
        <f>Juli!N96</f>
        <v>0</v>
      </c>
      <c r="K96" s="45">
        <f>K97</f>
        <v>0</v>
      </c>
      <c r="L96" s="108">
        <f t="shared" si="24"/>
        <v>0</v>
      </c>
      <c r="M96" s="8">
        <f t="shared" si="25"/>
        <v>0</v>
      </c>
      <c r="N96" s="12">
        <f t="shared" si="26"/>
        <v>0</v>
      </c>
      <c r="O96" s="13">
        <v>0</v>
      </c>
      <c r="P96" s="8">
        <f t="shared" si="27"/>
        <v>17599000</v>
      </c>
    </row>
    <row r="97" spans="1:16" s="3" customFormat="1" ht="38.25" customHeight="1">
      <c r="A97" s="214">
        <v>2</v>
      </c>
      <c r="B97" s="214">
        <v>14</v>
      </c>
      <c r="C97" s="214">
        <v>3</v>
      </c>
      <c r="D97" s="215" t="s">
        <v>7</v>
      </c>
      <c r="E97" s="214">
        <v>2</v>
      </c>
      <c r="F97" s="218" t="s">
        <v>157</v>
      </c>
      <c r="G97" s="217">
        <v>17599000</v>
      </c>
      <c r="H97" s="18">
        <f t="shared" si="28"/>
        <v>1.319122523355239E-3</v>
      </c>
      <c r="I97" s="21">
        <f>Juli!M97</f>
        <v>0</v>
      </c>
      <c r="J97" s="190">
        <f>Juli!N97</f>
        <v>0</v>
      </c>
      <c r="K97" s="21">
        <v>0</v>
      </c>
      <c r="L97" s="20">
        <f t="shared" si="24"/>
        <v>0</v>
      </c>
      <c r="M97" s="30">
        <f t="shared" si="25"/>
        <v>0</v>
      </c>
      <c r="N97" s="29">
        <f t="shared" si="26"/>
        <v>0</v>
      </c>
      <c r="O97" s="22">
        <v>0</v>
      </c>
      <c r="P97" s="21">
        <f t="shared" si="27"/>
        <v>17599000</v>
      </c>
    </row>
    <row r="98" spans="1:16" s="49" customFormat="1" ht="26.25" customHeight="1">
      <c r="A98" s="36">
        <v>2</v>
      </c>
      <c r="B98" s="36">
        <v>14</v>
      </c>
      <c r="C98" s="36">
        <v>4</v>
      </c>
      <c r="D98" s="37"/>
      <c r="E98" s="36"/>
      <c r="F98" s="38" t="s">
        <v>9</v>
      </c>
      <c r="G98" s="46">
        <f>G99+G102</f>
        <v>514414000</v>
      </c>
      <c r="H98" s="40">
        <f t="shared" si="28"/>
        <v>3.8557593825175401E-2</v>
      </c>
      <c r="I98" s="39">
        <f>Juli!M98</f>
        <v>31000000</v>
      </c>
      <c r="J98" s="42">
        <f>Juli!N98</f>
        <v>6.0262745570688194</v>
      </c>
      <c r="K98" s="46">
        <f>K99+K102</f>
        <v>0</v>
      </c>
      <c r="L98" s="109">
        <f t="shared" si="24"/>
        <v>0</v>
      </c>
      <c r="M98" s="39">
        <f t="shared" si="25"/>
        <v>31000000</v>
      </c>
      <c r="N98" s="43">
        <f t="shared" si="26"/>
        <v>6.0262745570688194</v>
      </c>
      <c r="O98" s="48">
        <v>10.45</v>
      </c>
      <c r="P98" s="39">
        <f t="shared" si="27"/>
        <v>483414000</v>
      </c>
    </row>
    <row r="99" spans="1:16" s="106" customFormat="1" ht="40.5" customHeight="1">
      <c r="A99" s="5">
        <v>2</v>
      </c>
      <c r="B99" s="5">
        <v>14</v>
      </c>
      <c r="C99" s="5">
        <v>4</v>
      </c>
      <c r="D99" s="6" t="s">
        <v>8</v>
      </c>
      <c r="E99" s="5"/>
      <c r="F99" s="7" t="s">
        <v>90</v>
      </c>
      <c r="G99" s="45">
        <f>G100+G101</f>
        <v>514414000</v>
      </c>
      <c r="H99" s="9">
        <f t="shared" si="28"/>
        <v>3.8557593825175401E-2</v>
      </c>
      <c r="I99" s="8">
        <f>Juli!M99</f>
        <v>31000000</v>
      </c>
      <c r="J99" s="11">
        <f>Juli!N99</f>
        <v>6.0262745570688194</v>
      </c>
      <c r="K99" s="45">
        <f>K100</f>
        <v>0</v>
      </c>
      <c r="L99" s="108">
        <f t="shared" si="24"/>
        <v>0</v>
      </c>
      <c r="M99" s="8">
        <f t="shared" si="25"/>
        <v>31000000</v>
      </c>
      <c r="N99" s="12">
        <f t="shared" si="26"/>
        <v>6.0262745570688194</v>
      </c>
      <c r="O99" s="27">
        <v>10.45</v>
      </c>
      <c r="P99" s="8">
        <f t="shared" si="27"/>
        <v>483414000</v>
      </c>
    </row>
    <row r="100" spans="1:16" s="3" customFormat="1" ht="35.25" customHeight="1">
      <c r="A100" s="214">
        <v>2</v>
      </c>
      <c r="B100" s="214">
        <v>14</v>
      </c>
      <c r="C100" s="214">
        <v>4</v>
      </c>
      <c r="D100" s="215" t="s">
        <v>8</v>
      </c>
      <c r="E100" s="214">
        <v>17</v>
      </c>
      <c r="F100" s="218" t="s">
        <v>129</v>
      </c>
      <c r="G100" s="217">
        <v>290000000</v>
      </c>
      <c r="H100" s="18">
        <f t="shared" si="28"/>
        <v>2.1736776622138718E-2</v>
      </c>
      <c r="I100" s="21">
        <f>Juli!M100</f>
        <v>0</v>
      </c>
      <c r="J100" s="190">
        <f>Juli!N100</f>
        <v>0</v>
      </c>
      <c r="K100" s="21">
        <v>0</v>
      </c>
      <c r="L100" s="20">
        <f t="shared" si="24"/>
        <v>0</v>
      </c>
      <c r="M100" s="30">
        <f t="shared" si="25"/>
        <v>0</v>
      </c>
      <c r="N100" s="29">
        <f t="shared" si="26"/>
        <v>0</v>
      </c>
      <c r="O100" s="23">
        <v>0</v>
      </c>
      <c r="P100" s="21">
        <f t="shared" si="27"/>
        <v>290000000</v>
      </c>
    </row>
    <row r="101" spans="1:16" s="3" customFormat="1" ht="28.5" customHeight="1">
      <c r="A101" s="214">
        <v>2</v>
      </c>
      <c r="B101" s="214">
        <v>14</v>
      </c>
      <c r="C101" s="214">
        <v>4</v>
      </c>
      <c r="D101" s="215" t="s">
        <v>8</v>
      </c>
      <c r="E101" s="214">
        <v>19</v>
      </c>
      <c r="F101" s="218" t="s">
        <v>158</v>
      </c>
      <c r="G101" s="217">
        <v>224414000</v>
      </c>
      <c r="H101" s="18">
        <f t="shared" si="28"/>
        <v>1.6820817203036683E-2</v>
      </c>
      <c r="I101" s="21">
        <f>Juli!M101</f>
        <v>31000000</v>
      </c>
      <c r="J101" s="190">
        <f>Juli!N101</f>
        <v>13.813754935075352</v>
      </c>
      <c r="K101" s="21"/>
      <c r="L101" s="20"/>
      <c r="M101" s="21">
        <f>I101+K101</f>
        <v>31000000</v>
      </c>
      <c r="N101" s="20">
        <f t="shared" si="26"/>
        <v>13.813754935075352</v>
      </c>
      <c r="O101" s="23">
        <v>15.44</v>
      </c>
      <c r="P101" s="21">
        <f t="shared" si="27"/>
        <v>193414000</v>
      </c>
    </row>
    <row r="102" spans="1:16" s="106" customFormat="1" ht="47.25" customHeight="1">
      <c r="A102" s="5">
        <v>2</v>
      </c>
      <c r="B102" s="5">
        <v>14</v>
      </c>
      <c r="C102" s="5">
        <v>4</v>
      </c>
      <c r="D102" s="6" t="s">
        <v>7</v>
      </c>
      <c r="E102" s="5"/>
      <c r="F102" s="7" t="s">
        <v>6</v>
      </c>
      <c r="G102" s="26">
        <f>G103</f>
        <v>0</v>
      </c>
      <c r="H102" s="9">
        <f t="shared" si="28"/>
        <v>0</v>
      </c>
      <c r="I102" s="8">
        <f>Juli!M102</f>
        <v>0</v>
      </c>
      <c r="J102" s="11" t="e">
        <f>Juli!N102</f>
        <v>#DIV/0!</v>
      </c>
      <c r="K102" s="26">
        <f>K103</f>
        <v>0</v>
      </c>
      <c r="L102" s="108" t="e">
        <f t="shared" si="24"/>
        <v>#DIV/0!</v>
      </c>
      <c r="M102" s="8">
        <f t="shared" si="25"/>
        <v>0</v>
      </c>
      <c r="N102" s="12" t="e">
        <f t="shared" si="26"/>
        <v>#DIV/0!</v>
      </c>
      <c r="O102" s="27">
        <v>0</v>
      </c>
      <c r="P102" s="8">
        <f t="shared" si="27"/>
        <v>0</v>
      </c>
    </row>
    <row r="103" spans="1:16" s="3" customFormat="1" ht="60.75" customHeight="1">
      <c r="A103" s="214">
        <v>2</v>
      </c>
      <c r="B103" s="214">
        <v>14</v>
      </c>
      <c r="C103" s="214">
        <v>4</v>
      </c>
      <c r="D103" s="215" t="s">
        <v>7</v>
      </c>
      <c r="E103" s="214">
        <v>8</v>
      </c>
      <c r="F103" s="218" t="s">
        <v>130</v>
      </c>
      <c r="G103" s="219">
        <v>0</v>
      </c>
      <c r="H103" s="18">
        <f t="shared" si="28"/>
        <v>0</v>
      </c>
      <c r="I103" s="21">
        <f>Juli!M103</f>
        <v>0</v>
      </c>
      <c r="J103" s="190" t="e">
        <f>Juli!N103</f>
        <v>#DIV/0!</v>
      </c>
      <c r="K103" s="21">
        <v>0</v>
      </c>
      <c r="L103" s="20" t="e">
        <f t="shared" si="24"/>
        <v>#DIV/0!</v>
      </c>
      <c r="M103" s="30">
        <f t="shared" si="25"/>
        <v>0</v>
      </c>
      <c r="N103" s="20" t="e">
        <f t="shared" si="26"/>
        <v>#DIV/0!</v>
      </c>
      <c r="O103" s="23">
        <v>0</v>
      </c>
      <c r="P103" s="21">
        <f t="shared" si="27"/>
        <v>0</v>
      </c>
    </row>
    <row r="104" spans="1:16" s="3" customFormat="1" ht="31.5" customHeight="1">
      <c r="A104" s="130"/>
      <c r="B104" s="130"/>
      <c r="C104" s="130"/>
      <c r="D104" s="131"/>
      <c r="E104" s="130"/>
      <c r="F104" s="141" t="s">
        <v>101</v>
      </c>
      <c r="G104" s="142">
        <f>G105+G113+G116</f>
        <v>2677601700</v>
      </c>
      <c r="H104" s="132"/>
      <c r="I104" s="138">
        <f>Juli!M104</f>
        <v>0</v>
      </c>
      <c r="J104" s="134">
        <f>Juli!N104</f>
        <v>0</v>
      </c>
      <c r="K104" s="136"/>
      <c r="L104" s="135"/>
      <c r="M104" s="138"/>
      <c r="N104" s="139"/>
      <c r="O104" s="137"/>
      <c r="P104" s="136"/>
    </row>
    <row r="105" spans="1:16" s="49" customFormat="1" ht="27.75" customHeight="1">
      <c r="A105" s="36">
        <v>2</v>
      </c>
      <c r="B105" s="36">
        <v>8</v>
      </c>
      <c r="C105" s="36">
        <v>1</v>
      </c>
      <c r="D105" s="37"/>
      <c r="E105" s="36"/>
      <c r="F105" s="38" t="s">
        <v>5</v>
      </c>
      <c r="G105" s="46">
        <f>G106+G110</f>
        <v>317209700</v>
      </c>
      <c r="H105" s="40">
        <f>+G105/$G$119*100%</f>
        <v>2.3776263418191848E-2</v>
      </c>
      <c r="I105" s="39">
        <f>Juli!M105</f>
        <v>178769750</v>
      </c>
      <c r="J105" s="42">
        <f>Juli!N105</f>
        <v>56.356961971843866</v>
      </c>
      <c r="K105" s="46">
        <f>K106+K110</f>
        <v>23400000</v>
      </c>
      <c r="L105" s="43">
        <f>K105/G105*100</f>
        <v>7.376823596504142</v>
      </c>
      <c r="M105" s="39">
        <f>I105+K105</f>
        <v>202169750</v>
      </c>
      <c r="N105" s="43">
        <f>M105/G105*100</f>
        <v>63.733785568347997</v>
      </c>
      <c r="O105" s="44">
        <v>65.44</v>
      </c>
      <c r="P105" s="39">
        <f t="shared" ref="P105:P118" si="29">G105-M105</f>
        <v>115039950</v>
      </c>
    </row>
    <row r="106" spans="1:16" s="106" customFormat="1" ht="27.75" customHeight="1">
      <c r="A106" s="5">
        <v>2</v>
      </c>
      <c r="B106" s="5">
        <v>8</v>
      </c>
      <c r="C106" s="5">
        <v>1</v>
      </c>
      <c r="D106" s="6" t="s">
        <v>24</v>
      </c>
      <c r="E106" s="5"/>
      <c r="F106" s="7" t="s">
        <v>4</v>
      </c>
      <c r="G106" s="45">
        <f>SUM(G107:G109)</f>
        <v>11797700</v>
      </c>
      <c r="H106" s="9">
        <f>+G106/$G$119*100%</f>
        <v>8.8428955018967563E-4</v>
      </c>
      <c r="I106" s="8">
        <f>Juli!M106</f>
        <v>4179200</v>
      </c>
      <c r="J106" s="11">
        <f>Juli!N106</f>
        <v>35.423853802012253</v>
      </c>
      <c r="K106" s="45">
        <f>K108+K109</f>
        <v>0</v>
      </c>
      <c r="L106" s="12">
        <f>K106/G106*100</f>
        <v>0</v>
      </c>
      <c r="M106" s="8">
        <f>I106+K106</f>
        <v>4179200</v>
      </c>
      <c r="N106" s="12">
        <f>M106/G106*100</f>
        <v>35.423853802012253</v>
      </c>
      <c r="O106" s="27">
        <v>37.54</v>
      </c>
      <c r="P106" s="8">
        <f t="shared" si="29"/>
        <v>7618500</v>
      </c>
    </row>
    <row r="107" spans="1:16" s="106" customFormat="1" ht="27.75" customHeight="1">
      <c r="A107" s="14">
        <v>2</v>
      </c>
      <c r="B107" s="14">
        <v>8</v>
      </c>
      <c r="C107" s="14">
        <v>1</v>
      </c>
      <c r="D107" s="15" t="s">
        <v>24</v>
      </c>
      <c r="E107" s="14">
        <v>1</v>
      </c>
      <c r="F107" s="16" t="s">
        <v>60</v>
      </c>
      <c r="G107" s="17">
        <v>1706000</v>
      </c>
      <c r="H107" s="18">
        <f>+G107/$G$119*100%</f>
        <v>1.2787221005989191E-4</v>
      </c>
      <c r="I107" s="21">
        <f>Juli!M107</f>
        <v>0</v>
      </c>
      <c r="J107" s="190">
        <f>Juli!N107</f>
        <v>0</v>
      </c>
      <c r="K107" s="21"/>
      <c r="L107" s="20">
        <f>K107/G107*100</f>
        <v>0</v>
      </c>
      <c r="M107" s="30">
        <f>I107+K107</f>
        <v>0</v>
      </c>
      <c r="N107" s="29">
        <f>M107/G107*100</f>
        <v>0</v>
      </c>
      <c r="O107" s="23">
        <v>0</v>
      </c>
      <c r="P107" s="21">
        <f t="shared" si="29"/>
        <v>1706000</v>
      </c>
    </row>
    <row r="108" spans="1:16" s="3" customFormat="1" ht="27.75" customHeight="1">
      <c r="A108" s="14">
        <v>2</v>
      </c>
      <c r="B108" s="14">
        <v>8</v>
      </c>
      <c r="C108" s="14">
        <v>1</v>
      </c>
      <c r="D108" s="15" t="s">
        <v>24</v>
      </c>
      <c r="E108" s="14">
        <v>2</v>
      </c>
      <c r="F108" s="16" t="s">
        <v>61</v>
      </c>
      <c r="G108" s="17">
        <v>8794500</v>
      </c>
      <c r="H108" s="18">
        <f>+G108/$G$119*100%</f>
        <v>6.5918648966689294E-4</v>
      </c>
      <c r="I108" s="21">
        <f>Juli!M108</f>
        <v>2887100</v>
      </c>
      <c r="J108" s="190">
        <f>Juli!N108</f>
        <v>32.828472340667467</v>
      </c>
      <c r="K108" s="21"/>
      <c r="L108" s="20">
        <f>K108/G108*100</f>
        <v>0</v>
      </c>
      <c r="M108" s="21">
        <f>I108+K108</f>
        <v>2887100</v>
      </c>
      <c r="N108" s="20">
        <f>M108/G108*100</f>
        <v>32.828472340667467</v>
      </c>
      <c r="O108" s="23">
        <v>35.67</v>
      </c>
      <c r="P108" s="21">
        <f t="shared" si="29"/>
        <v>5907400</v>
      </c>
    </row>
    <row r="109" spans="1:16" s="3" customFormat="1" ht="27.75" customHeight="1">
      <c r="A109" s="14">
        <v>2</v>
      </c>
      <c r="B109" s="14">
        <v>8</v>
      </c>
      <c r="C109" s="14">
        <v>1</v>
      </c>
      <c r="D109" s="15" t="s">
        <v>24</v>
      </c>
      <c r="E109" s="14">
        <v>5</v>
      </c>
      <c r="F109" s="16" t="s">
        <v>62</v>
      </c>
      <c r="G109" s="17">
        <v>1297200</v>
      </c>
      <c r="H109" s="18">
        <f>+G109/$G$119*100%</f>
        <v>9.7230850462890842E-5</v>
      </c>
      <c r="I109" s="21">
        <f>Juli!M109</f>
        <v>1292100</v>
      </c>
      <c r="J109" s="190">
        <f>Juli!N109</f>
        <v>99.606845513413518</v>
      </c>
      <c r="K109" s="21"/>
      <c r="L109" s="20">
        <f>K109/G109*100</f>
        <v>0</v>
      </c>
      <c r="M109" s="21">
        <f>I109+K109</f>
        <v>1292100</v>
      </c>
      <c r="N109" s="20">
        <f>M109/G109*100</f>
        <v>99.606845513413518</v>
      </c>
      <c r="O109" s="22">
        <v>100</v>
      </c>
      <c r="P109" s="21">
        <f>G109-M109</f>
        <v>5100</v>
      </c>
    </row>
    <row r="110" spans="1:16" s="106" customFormat="1" ht="27.75" customHeight="1">
      <c r="A110" s="5">
        <v>2</v>
      </c>
      <c r="B110" s="5">
        <v>8</v>
      </c>
      <c r="C110" s="5">
        <v>1</v>
      </c>
      <c r="D110" s="6" t="s">
        <v>23</v>
      </c>
      <c r="E110" s="5"/>
      <c r="F110" s="7" t="s">
        <v>3</v>
      </c>
      <c r="G110" s="45">
        <f>G111+G112</f>
        <v>305412000</v>
      </c>
      <c r="H110" s="9">
        <f t="shared" ref="H110:H119" si="30">+G110/$G$119*100%</f>
        <v>2.2891973868002173E-2</v>
      </c>
      <c r="I110" s="8">
        <f>Juli!M110</f>
        <v>174590550</v>
      </c>
      <c r="J110" s="11">
        <f>Juli!N110</f>
        <v>57.165582884758948</v>
      </c>
      <c r="K110" s="45">
        <f>K111+K112</f>
        <v>23400000</v>
      </c>
      <c r="L110" s="12">
        <f t="shared" ref="L110:L119" si="31">K110/G110*100</f>
        <v>7.6617814624179799</v>
      </c>
      <c r="M110" s="8">
        <f t="shared" ref="M110:M118" si="32">I110+K110</f>
        <v>197990550</v>
      </c>
      <c r="N110" s="12">
        <f t="shared" ref="N110:N119" si="33">M110/G110*100</f>
        <v>64.827364347176925</v>
      </c>
      <c r="O110" s="13">
        <v>67.540000000000006</v>
      </c>
      <c r="P110" s="8">
        <f t="shared" si="29"/>
        <v>107421450</v>
      </c>
    </row>
    <row r="111" spans="1:16" s="3" customFormat="1" ht="27.75" customHeight="1">
      <c r="A111" s="14">
        <v>2</v>
      </c>
      <c r="B111" s="14">
        <v>8</v>
      </c>
      <c r="C111" s="14">
        <v>1</v>
      </c>
      <c r="D111" s="15" t="s">
        <v>23</v>
      </c>
      <c r="E111" s="14">
        <v>2</v>
      </c>
      <c r="F111" s="16" t="s">
        <v>87</v>
      </c>
      <c r="G111" s="17">
        <v>22020000</v>
      </c>
      <c r="H111" s="18">
        <f t="shared" si="30"/>
        <v>1.6504959352396365E-3</v>
      </c>
      <c r="I111" s="21">
        <f>Juli!M111</f>
        <v>9940050</v>
      </c>
      <c r="J111" s="190">
        <f>Juli!N111</f>
        <v>45.141008174386918</v>
      </c>
      <c r="K111" s="24"/>
      <c r="L111" s="20">
        <f t="shared" si="31"/>
        <v>0</v>
      </c>
      <c r="M111" s="21">
        <f t="shared" si="32"/>
        <v>9940050</v>
      </c>
      <c r="N111" s="20">
        <f t="shared" si="33"/>
        <v>45.141008174386918</v>
      </c>
      <c r="O111" s="22">
        <v>47.76</v>
      </c>
      <c r="P111" s="21">
        <f t="shared" si="29"/>
        <v>12079950</v>
      </c>
    </row>
    <row r="112" spans="1:16" s="3" customFormat="1" ht="27.75" customHeight="1">
      <c r="A112" s="14">
        <v>2</v>
      </c>
      <c r="B112" s="14">
        <v>8</v>
      </c>
      <c r="C112" s="14">
        <v>1</v>
      </c>
      <c r="D112" s="15" t="s">
        <v>23</v>
      </c>
      <c r="E112" s="14">
        <v>4</v>
      </c>
      <c r="F112" s="16" t="s">
        <v>68</v>
      </c>
      <c r="G112" s="17">
        <v>283392000</v>
      </c>
      <c r="H112" s="18">
        <f t="shared" si="30"/>
        <v>2.1241477932762536E-2</v>
      </c>
      <c r="I112" s="21">
        <f>Juli!M112</f>
        <v>164650500</v>
      </c>
      <c r="J112" s="190">
        <f>Juli!N112</f>
        <v>58.099911077235774</v>
      </c>
      <c r="K112" s="21">
        <f>23400000</f>
        <v>23400000</v>
      </c>
      <c r="L112" s="20">
        <f t="shared" si="31"/>
        <v>8.2571138211382102</v>
      </c>
      <c r="M112" s="21">
        <f t="shared" si="32"/>
        <v>188050500</v>
      </c>
      <c r="N112" s="20">
        <f t="shared" si="33"/>
        <v>66.357024898373979</v>
      </c>
      <c r="O112" s="22">
        <v>70.45</v>
      </c>
      <c r="P112" s="21">
        <f t="shared" si="29"/>
        <v>95341500</v>
      </c>
    </row>
    <row r="113" spans="1:16" s="49" customFormat="1" ht="27.75" customHeight="1">
      <c r="A113" s="36">
        <v>2</v>
      </c>
      <c r="B113" s="36">
        <v>8</v>
      </c>
      <c r="C113" s="36">
        <v>3</v>
      </c>
      <c r="D113" s="37"/>
      <c r="E113" s="36"/>
      <c r="F113" s="38" t="s">
        <v>91</v>
      </c>
      <c r="G113" s="46">
        <f>G114</f>
        <v>2177844000</v>
      </c>
      <c r="H113" s="40">
        <f t="shared" si="30"/>
        <v>0.16323899498574163</v>
      </c>
      <c r="I113" s="39">
        <f>Juli!M113</f>
        <v>43006103</v>
      </c>
      <c r="J113" s="42">
        <f>Juli!N113</f>
        <v>1.9747099884105563</v>
      </c>
      <c r="K113" s="46">
        <f>K114</f>
        <v>0</v>
      </c>
      <c r="L113" s="43">
        <f t="shared" si="31"/>
        <v>0</v>
      </c>
      <c r="M113" s="39">
        <f t="shared" si="32"/>
        <v>43006103</v>
      </c>
      <c r="N113" s="43">
        <f t="shared" si="33"/>
        <v>1.9747099884105563</v>
      </c>
      <c r="O113" s="44">
        <v>3.23</v>
      </c>
      <c r="P113" s="39">
        <f t="shared" si="29"/>
        <v>2134837897</v>
      </c>
    </row>
    <row r="114" spans="1:16" s="106" customFormat="1" ht="40.5" customHeight="1">
      <c r="A114" s="5">
        <v>2</v>
      </c>
      <c r="B114" s="5">
        <v>8</v>
      </c>
      <c r="C114" s="5">
        <v>3</v>
      </c>
      <c r="D114" s="6" t="s">
        <v>7</v>
      </c>
      <c r="E114" s="5"/>
      <c r="F114" s="7" t="s">
        <v>47</v>
      </c>
      <c r="G114" s="45">
        <f>G115</f>
        <v>2177844000</v>
      </c>
      <c r="H114" s="9">
        <f t="shared" si="30"/>
        <v>0.16323899498574163</v>
      </c>
      <c r="I114" s="8">
        <f>Juli!M114</f>
        <v>43006103</v>
      </c>
      <c r="J114" s="11">
        <f>Juli!N114</f>
        <v>1.9747099884105563</v>
      </c>
      <c r="K114" s="45">
        <f>K115</f>
        <v>0</v>
      </c>
      <c r="L114" s="12">
        <f t="shared" si="31"/>
        <v>0</v>
      </c>
      <c r="M114" s="8">
        <f t="shared" si="32"/>
        <v>43006103</v>
      </c>
      <c r="N114" s="12">
        <f t="shared" si="33"/>
        <v>1.9747099884105563</v>
      </c>
      <c r="O114" s="13">
        <v>3.23</v>
      </c>
      <c r="P114" s="8">
        <f t="shared" si="29"/>
        <v>2134837897</v>
      </c>
    </row>
    <row r="115" spans="1:16" s="3" customFormat="1" ht="36" customHeight="1">
      <c r="A115" s="14">
        <v>2</v>
      </c>
      <c r="B115" s="14">
        <v>8</v>
      </c>
      <c r="C115" s="14">
        <v>3</v>
      </c>
      <c r="D115" s="15" t="s">
        <v>7</v>
      </c>
      <c r="E115" s="14">
        <v>2</v>
      </c>
      <c r="F115" s="16" t="s">
        <v>74</v>
      </c>
      <c r="G115" s="17">
        <v>2177844000</v>
      </c>
      <c r="H115" s="18">
        <f t="shared" si="30"/>
        <v>0.16323899498574163</v>
      </c>
      <c r="I115" s="21">
        <f>Juli!M115</f>
        <v>43006103</v>
      </c>
      <c r="J115" s="190">
        <f>Juli!N115</f>
        <v>1.9747099884105563</v>
      </c>
      <c r="K115" s="21"/>
      <c r="L115" s="20">
        <f t="shared" si="31"/>
        <v>0</v>
      </c>
      <c r="M115" s="21">
        <f t="shared" si="32"/>
        <v>43006103</v>
      </c>
      <c r="N115" s="20">
        <f t="shared" si="33"/>
        <v>1.9747099884105563</v>
      </c>
      <c r="O115" s="22">
        <v>3.23</v>
      </c>
      <c r="P115" s="21">
        <f t="shared" si="29"/>
        <v>2134837897</v>
      </c>
    </row>
    <row r="116" spans="1:16" s="49" customFormat="1" ht="26.25" customHeight="1">
      <c r="A116" s="36">
        <v>2</v>
      </c>
      <c r="B116" s="36">
        <v>8</v>
      </c>
      <c r="C116" s="36">
        <v>7</v>
      </c>
      <c r="D116" s="37"/>
      <c r="E116" s="36"/>
      <c r="F116" s="38" t="s">
        <v>92</v>
      </c>
      <c r="G116" s="46">
        <f>G117</f>
        <v>182548000</v>
      </c>
      <c r="H116" s="40">
        <f t="shared" si="30"/>
        <v>1.3682776202821306E-2</v>
      </c>
      <c r="I116" s="39">
        <f>Juli!M116</f>
        <v>45307684</v>
      </c>
      <c r="J116" s="42">
        <f>Juli!N116</f>
        <v>24.819600324298268</v>
      </c>
      <c r="K116" s="46">
        <f>K117</f>
        <v>0</v>
      </c>
      <c r="L116" s="43">
        <f t="shared" si="31"/>
        <v>0</v>
      </c>
      <c r="M116" s="39">
        <f t="shared" si="32"/>
        <v>45307684</v>
      </c>
      <c r="N116" s="43">
        <f t="shared" si="33"/>
        <v>24.819600324298268</v>
      </c>
      <c r="O116" s="44">
        <v>26.43</v>
      </c>
      <c r="P116" s="39">
        <f t="shared" si="29"/>
        <v>137240316</v>
      </c>
    </row>
    <row r="117" spans="1:16" s="106" customFormat="1" ht="40.5" customHeight="1">
      <c r="A117" s="5">
        <v>2</v>
      </c>
      <c r="B117" s="5">
        <v>8</v>
      </c>
      <c r="C117" s="5">
        <v>7</v>
      </c>
      <c r="D117" s="6" t="s">
        <v>7</v>
      </c>
      <c r="E117" s="5"/>
      <c r="F117" s="7" t="s">
        <v>1</v>
      </c>
      <c r="G117" s="45">
        <f>G118</f>
        <v>182548000</v>
      </c>
      <c r="H117" s="9">
        <f t="shared" si="30"/>
        <v>1.3682776202821306E-2</v>
      </c>
      <c r="I117" s="8">
        <f>Juli!M117</f>
        <v>45307684</v>
      </c>
      <c r="J117" s="11">
        <f>Juli!N117</f>
        <v>24.819600324298268</v>
      </c>
      <c r="K117" s="45">
        <f>K118</f>
        <v>0</v>
      </c>
      <c r="L117" s="12">
        <f t="shared" si="31"/>
        <v>0</v>
      </c>
      <c r="M117" s="8">
        <f t="shared" si="32"/>
        <v>45307684</v>
      </c>
      <c r="N117" s="12">
        <f t="shared" si="33"/>
        <v>24.819600324298268</v>
      </c>
      <c r="O117" s="13">
        <v>26.43</v>
      </c>
      <c r="P117" s="8">
        <f t="shared" si="29"/>
        <v>137240316</v>
      </c>
    </row>
    <row r="118" spans="1:16" s="3" customFormat="1" ht="30" customHeight="1">
      <c r="A118" s="14">
        <v>2</v>
      </c>
      <c r="B118" s="14">
        <v>8</v>
      </c>
      <c r="C118" s="14">
        <v>7</v>
      </c>
      <c r="D118" s="15" t="s">
        <v>7</v>
      </c>
      <c r="E118" s="14">
        <v>7</v>
      </c>
      <c r="F118" s="166" t="s">
        <v>127</v>
      </c>
      <c r="G118" s="17">
        <v>182548000</v>
      </c>
      <c r="H118" s="18">
        <f t="shared" si="30"/>
        <v>1.3682776202821306E-2</v>
      </c>
      <c r="I118" s="21">
        <f>Juli!M118</f>
        <v>45307684</v>
      </c>
      <c r="J118" s="190">
        <f>Juli!N118</f>
        <v>24.819600324298268</v>
      </c>
      <c r="K118" s="21"/>
      <c r="L118" s="20">
        <f t="shared" si="31"/>
        <v>0</v>
      </c>
      <c r="M118" s="21">
        <f t="shared" si="32"/>
        <v>45307684</v>
      </c>
      <c r="N118" s="20">
        <f t="shared" si="33"/>
        <v>24.819600324298268</v>
      </c>
      <c r="O118" s="22">
        <v>26.43</v>
      </c>
      <c r="P118" s="21">
        <f t="shared" si="29"/>
        <v>137240316</v>
      </c>
    </row>
    <row r="119" spans="1:16" s="58" customFormat="1" ht="22.5" customHeight="1">
      <c r="A119" s="50"/>
      <c r="B119" s="50"/>
      <c r="C119" s="50"/>
      <c r="D119" s="51"/>
      <c r="E119" s="52"/>
      <c r="F119" s="53" t="s">
        <v>48</v>
      </c>
      <c r="G119" s="54">
        <f>G16+G55+G61+G67+G72+G76+G83+G89+G95+G98+G105+G113+G116</f>
        <v>13341444550</v>
      </c>
      <c r="H119" s="114">
        <f t="shared" si="30"/>
        <v>1</v>
      </c>
      <c r="I119" s="116">
        <f>Juli!M119</f>
        <v>5446918226</v>
      </c>
      <c r="J119" s="55">
        <f>Juli!N119</f>
        <v>40.82704991642003</v>
      </c>
      <c r="K119" s="54">
        <f>K16+K55+K61+K67+K72+K76+K83+K89+K95+K98+K105+K113+K116</f>
        <v>330882565</v>
      </c>
      <c r="L119" s="56">
        <f t="shared" si="31"/>
        <v>2.4801104839880326</v>
      </c>
      <c r="M119" s="54">
        <f>M16+M55+M61+M67+M72+M76+M83+M89+M95+M98+M105+M113+M116</f>
        <v>5777800791</v>
      </c>
      <c r="N119" s="56">
        <f t="shared" si="33"/>
        <v>43.307160400408065</v>
      </c>
      <c r="O119" s="57">
        <v>46.55</v>
      </c>
      <c r="P119" s="116">
        <f>G119-M119</f>
        <v>7563643759</v>
      </c>
    </row>
    <row r="120" spans="1:16" s="4" customFormat="1" ht="18" customHeight="1">
      <c r="A120" s="118"/>
      <c r="B120" s="118"/>
      <c r="C120" s="118"/>
      <c r="D120" s="119"/>
      <c r="E120" s="120"/>
      <c r="F120" s="33" t="s">
        <v>95</v>
      </c>
      <c r="G120" s="128">
        <f>G16</f>
        <v>8620443300</v>
      </c>
      <c r="H120" s="122"/>
      <c r="I120" s="121"/>
      <c r="J120" s="123"/>
      <c r="K120" s="121" t="s">
        <v>210</v>
      </c>
      <c r="L120" s="124"/>
      <c r="M120" s="126"/>
      <c r="N120" s="124"/>
      <c r="O120" s="125"/>
      <c r="P120" s="126"/>
    </row>
    <row r="121" spans="1:16" s="4" customFormat="1" ht="15.75" customHeight="1">
      <c r="A121" s="118"/>
      <c r="B121" s="118"/>
      <c r="C121" s="118"/>
      <c r="D121" s="119"/>
      <c r="E121" s="120"/>
      <c r="F121" s="33" t="s">
        <v>96</v>
      </c>
      <c r="G121" s="128">
        <f>G76</f>
        <v>171883200</v>
      </c>
      <c r="H121" s="187"/>
      <c r="I121" s="188"/>
      <c r="J121" s="189"/>
      <c r="K121" s="121"/>
      <c r="L121" s="124"/>
      <c r="M121" s="126"/>
      <c r="N121" s="124"/>
      <c r="O121" s="125"/>
      <c r="P121" s="126"/>
    </row>
    <row r="122" spans="1:16" s="3" customFormat="1">
      <c r="A122" s="77"/>
      <c r="B122" s="78"/>
      <c r="C122" s="78"/>
      <c r="D122" s="31"/>
      <c r="E122" s="32"/>
      <c r="F122" s="127" t="s">
        <v>97</v>
      </c>
      <c r="G122" s="128">
        <f>G83</f>
        <v>664592900</v>
      </c>
      <c r="H122" s="235" t="s">
        <v>133</v>
      </c>
      <c r="I122" s="207"/>
      <c r="J122" s="174"/>
      <c r="K122" s="80"/>
      <c r="L122" s="80"/>
      <c r="M122" s="244" t="s">
        <v>205</v>
      </c>
      <c r="N122" s="244"/>
      <c r="O122" s="244"/>
      <c r="P122" s="80"/>
    </row>
    <row r="123" spans="1:16" s="3" customFormat="1" ht="17.25" customHeight="1">
      <c r="A123" s="32"/>
      <c r="B123" s="82"/>
      <c r="C123" s="78"/>
      <c r="D123" s="83"/>
      <c r="E123" s="80"/>
      <c r="F123" s="178" t="s">
        <v>98</v>
      </c>
      <c r="G123" s="155">
        <f>G61</f>
        <v>145888000</v>
      </c>
      <c r="H123" s="236" t="s">
        <v>134</v>
      </c>
      <c r="I123" s="207"/>
      <c r="J123" s="174"/>
      <c r="K123" s="80"/>
      <c r="L123" s="80"/>
      <c r="M123" s="250" t="s">
        <v>139</v>
      </c>
      <c r="N123" s="250"/>
      <c r="O123" s="250"/>
      <c r="P123" s="85" t="s">
        <v>0</v>
      </c>
    </row>
    <row r="124" spans="1:16" s="3" customFormat="1" ht="18" customHeight="1">
      <c r="A124" s="32"/>
      <c r="B124" s="82"/>
      <c r="C124" s="78"/>
      <c r="D124" s="83"/>
      <c r="E124" s="32"/>
      <c r="F124" s="179" t="s">
        <v>99</v>
      </c>
      <c r="G124" s="154">
        <f>G54</f>
        <v>441320000</v>
      </c>
      <c r="H124" s="233"/>
      <c r="I124" s="234"/>
      <c r="J124" s="174"/>
      <c r="K124" s="80"/>
      <c r="L124" s="80"/>
      <c r="M124" s="251"/>
      <c r="N124" s="251"/>
      <c r="O124" s="251"/>
      <c r="P124" s="87"/>
    </row>
    <row r="125" spans="1:16" s="3" customFormat="1">
      <c r="A125" s="1"/>
      <c r="B125" s="88"/>
      <c r="C125" s="89"/>
      <c r="D125" s="90"/>
      <c r="E125" s="220"/>
      <c r="F125" s="221" t="s">
        <v>100</v>
      </c>
      <c r="G125" s="222">
        <f>G89+G95+G98</f>
        <v>619715450</v>
      </c>
      <c r="H125" s="91"/>
      <c r="I125" s="1"/>
      <c r="M125" s="246"/>
      <c r="N125" s="246"/>
      <c r="O125" s="246"/>
    </row>
    <row r="126" spans="1:16" s="3" customFormat="1">
      <c r="A126" s="1"/>
      <c r="B126" s="88"/>
      <c r="C126" s="89"/>
      <c r="D126" s="90"/>
      <c r="E126" s="220"/>
      <c r="F126" s="221" t="s">
        <v>101</v>
      </c>
      <c r="G126" s="223">
        <f>G105+G113+G116</f>
        <v>2677601700</v>
      </c>
      <c r="H126" s="91"/>
      <c r="I126" s="226"/>
      <c r="M126" s="245" t="s">
        <v>194</v>
      </c>
      <c r="N126" s="245"/>
      <c r="O126" s="245"/>
    </row>
    <row r="127" spans="1:16" s="3" customFormat="1" ht="15" customHeight="1">
      <c r="A127" s="1"/>
      <c r="B127" s="88"/>
      <c r="C127" s="89"/>
      <c r="D127" s="90"/>
      <c r="E127" s="220"/>
      <c r="F127" s="224" t="s">
        <v>102</v>
      </c>
      <c r="G127" s="225">
        <f>SUM(G120:G126)</f>
        <v>13341444550</v>
      </c>
      <c r="H127" s="91"/>
      <c r="I127" s="1"/>
      <c r="M127" s="242" t="s">
        <v>196</v>
      </c>
      <c r="N127" s="242"/>
      <c r="O127" s="242"/>
    </row>
    <row r="128" spans="1:16" s="3" customFormat="1" ht="15" customHeight="1">
      <c r="A128" s="1" t="s">
        <v>0</v>
      </c>
      <c r="B128" s="88"/>
      <c r="C128" s="89"/>
      <c r="D128" s="90"/>
      <c r="E128" s="220"/>
      <c r="F128" s="220"/>
      <c r="G128" s="225"/>
      <c r="H128" s="91"/>
      <c r="M128" s="242" t="s">
        <v>195</v>
      </c>
      <c r="N128" s="242"/>
      <c r="O128" s="242"/>
    </row>
    <row r="129" spans="1:8">
      <c r="A129" s="93"/>
      <c r="B129" s="94"/>
      <c r="C129" s="95"/>
      <c r="D129" s="96"/>
      <c r="E129" s="93"/>
      <c r="F129" s="93"/>
      <c r="G129" s="159"/>
      <c r="H129" s="98"/>
    </row>
    <row r="130" spans="1:8">
      <c r="A130" s="93"/>
      <c r="B130" s="94"/>
      <c r="C130" s="95"/>
      <c r="D130" s="96"/>
      <c r="E130" s="93"/>
      <c r="F130" s="93"/>
      <c r="G130" s="97"/>
      <c r="H130" s="98"/>
    </row>
    <row r="131" spans="1:8">
      <c r="A131" s="93"/>
      <c r="B131" s="94"/>
      <c r="C131" s="95"/>
      <c r="D131" s="96"/>
      <c r="E131" s="93"/>
      <c r="F131" s="93"/>
      <c r="G131" s="97"/>
      <c r="H131" s="98"/>
    </row>
  </sheetData>
  <mergeCells count="33">
    <mergeCell ref="M128:O128"/>
    <mergeCell ref="M122:O122"/>
    <mergeCell ref="M124:O124"/>
    <mergeCell ref="M125:O125"/>
    <mergeCell ref="M126:O126"/>
    <mergeCell ref="M127:O127"/>
    <mergeCell ref="M123:O123"/>
    <mergeCell ref="I10:O10"/>
    <mergeCell ref="P10:P13"/>
    <mergeCell ref="A11:A13"/>
    <mergeCell ref="B11:B13"/>
    <mergeCell ref="C11:C13"/>
    <mergeCell ref="D11:D13"/>
    <mergeCell ref="E11:E13"/>
    <mergeCell ref="I11:J11"/>
    <mergeCell ref="K11:L11"/>
    <mergeCell ref="M11:O11"/>
    <mergeCell ref="H10:H13"/>
    <mergeCell ref="I12:J12"/>
    <mergeCell ref="K12:L12"/>
    <mergeCell ref="M12:N12"/>
    <mergeCell ref="G10:G13"/>
    <mergeCell ref="A14:E14"/>
    <mergeCell ref="A7:E7"/>
    <mergeCell ref="A8:E8"/>
    <mergeCell ref="A10:E10"/>
    <mergeCell ref="F10:F13"/>
    <mergeCell ref="A1:P1"/>
    <mergeCell ref="A2:P2"/>
    <mergeCell ref="A3:P3"/>
    <mergeCell ref="A5:E5"/>
    <mergeCell ref="A6:E6"/>
    <mergeCell ref="F6:P6"/>
  </mergeCells>
  <pageMargins left="1.2" right="0.7" top="0.75" bottom="0.75" header="0.3" footer="0.3"/>
  <pageSetup paperSize="5" scale="70" orientation="landscape" horizontalDpi="4294967292" verticalDpi="4294967295" r:id="rId1"/>
  <rowBreaks count="1" manualBreakCount="1">
    <brk id="130" max="17" man="1"/>
  </rowBreaks>
</worksheet>
</file>

<file path=xl/worksheets/sheet9.xml><?xml version="1.0" encoding="utf-8"?>
<worksheet xmlns="http://schemas.openxmlformats.org/spreadsheetml/2006/main" xmlns:r="http://schemas.openxmlformats.org/officeDocument/2006/relationships">
  <dimension ref="A1:T45"/>
  <sheetViews>
    <sheetView showGridLines="0" view="pageBreakPreview" topLeftCell="G1" zoomScaleNormal="100" zoomScaleSheetLayoutView="100" workbookViewId="0">
      <selection activeCell="N16" sqref="N16"/>
    </sheetView>
  </sheetViews>
  <sheetFormatPr defaultColWidth="9.140625" defaultRowHeight="15"/>
  <cols>
    <col min="1" max="1" width="3.5703125" style="64" customWidth="1"/>
    <col min="2" max="2" width="3.85546875" style="100" customWidth="1"/>
    <col min="3" max="3" width="3.7109375" style="100" customWidth="1"/>
    <col min="4" max="4" width="4.140625" style="101" customWidth="1"/>
    <col min="5" max="5" width="3.140625" style="99" customWidth="1"/>
    <col min="6" max="6" width="68.140625" style="99" customWidth="1"/>
    <col min="7" max="7" width="14.42578125" style="102" customWidth="1"/>
    <col min="8" max="8" width="10" style="63" customWidth="1"/>
    <col min="9" max="9" width="14" style="64" customWidth="1"/>
    <col min="10" max="10" width="7.7109375" style="64" customWidth="1"/>
    <col min="11" max="11" width="12.28515625" style="64" customWidth="1"/>
    <col min="12" max="12" width="8.140625" style="64" customWidth="1"/>
    <col min="13" max="13" width="14.28515625" style="64" customWidth="1"/>
    <col min="14" max="14" width="7.42578125" style="64" customWidth="1"/>
    <col min="15" max="15" width="7.85546875" style="64" customWidth="1"/>
    <col min="16" max="16" width="15.140625" style="64" customWidth="1"/>
    <col min="17" max="17" width="9.140625" style="59"/>
    <col min="18" max="18" width="14.7109375" style="59" customWidth="1"/>
    <col min="19" max="20" width="0.140625" style="59" customWidth="1"/>
    <col min="21" max="16384" width="9.140625" style="59"/>
  </cols>
  <sheetData>
    <row r="1" spans="1:17" ht="18.75">
      <c r="A1" s="264" t="s">
        <v>110</v>
      </c>
      <c r="B1" s="265"/>
      <c r="C1" s="265"/>
      <c r="D1" s="265"/>
      <c r="E1" s="265"/>
      <c r="F1" s="265"/>
      <c r="G1" s="265"/>
      <c r="H1" s="265"/>
      <c r="I1" s="265"/>
      <c r="J1" s="265"/>
      <c r="K1" s="265"/>
      <c r="L1" s="265"/>
      <c r="M1" s="265"/>
      <c r="N1" s="265"/>
      <c r="O1" s="265"/>
      <c r="P1" s="265"/>
    </row>
    <row r="2" spans="1:17" ht="15.75" customHeight="1">
      <c r="A2" s="264" t="s">
        <v>161</v>
      </c>
      <c r="B2" s="265"/>
      <c r="C2" s="265"/>
      <c r="D2" s="265"/>
      <c r="E2" s="265"/>
      <c r="F2" s="265"/>
      <c r="G2" s="265"/>
      <c r="H2" s="265"/>
      <c r="I2" s="265"/>
      <c r="J2" s="265"/>
      <c r="K2" s="265"/>
      <c r="L2" s="265"/>
      <c r="M2" s="265"/>
      <c r="N2" s="265"/>
      <c r="O2" s="265"/>
      <c r="P2" s="265"/>
    </row>
    <row r="3" spans="1:17" ht="15" customHeight="1">
      <c r="A3" s="266" t="s">
        <v>142</v>
      </c>
      <c r="B3" s="266"/>
      <c r="C3" s="266"/>
      <c r="D3" s="266"/>
      <c r="E3" s="266"/>
      <c r="F3" s="266"/>
      <c r="G3" s="266"/>
      <c r="H3" s="265"/>
      <c r="I3" s="265"/>
      <c r="J3" s="265"/>
      <c r="K3" s="265"/>
      <c r="L3" s="265"/>
      <c r="M3" s="265"/>
      <c r="N3" s="265"/>
      <c r="O3" s="265"/>
      <c r="P3" s="265"/>
    </row>
    <row r="4" spans="1:17" ht="15" customHeight="1">
      <c r="A4" s="160"/>
      <c r="B4" s="60"/>
      <c r="C4" s="60"/>
      <c r="D4" s="61"/>
      <c r="E4" s="60"/>
      <c r="F4" s="60"/>
      <c r="G4" s="62"/>
    </row>
    <row r="5" spans="1:17" ht="15" customHeight="1">
      <c r="A5" s="257" t="s">
        <v>42</v>
      </c>
      <c r="B5" s="257"/>
      <c r="C5" s="257"/>
      <c r="D5" s="257"/>
      <c r="E5" s="257"/>
      <c r="F5" s="65" t="s">
        <v>44</v>
      </c>
      <c r="G5" s="66"/>
      <c r="H5" s="66"/>
      <c r="I5" s="66"/>
      <c r="J5" s="66"/>
      <c r="K5" s="66"/>
      <c r="L5" s="66"/>
      <c r="M5" s="66"/>
      <c r="N5" s="66"/>
      <c r="O5" s="66"/>
      <c r="P5" s="66"/>
    </row>
    <row r="6" spans="1:17" ht="15" customHeight="1">
      <c r="A6" s="267" t="s">
        <v>162</v>
      </c>
      <c r="B6" s="257"/>
      <c r="C6" s="257"/>
      <c r="D6" s="257"/>
      <c r="E6" s="257"/>
      <c r="F6" s="267" t="s">
        <v>46</v>
      </c>
      <c r="G6" s="267"/>
      <c r="H6" s="267"/>
      <c r="I6" s="267"/>
      <c r="J6" s="267"/>
      <c r="K6" s="267"/>
      <c r="L6" s="267"/>
      <c r="M6" s="267"/>
      <c r="N6" s="267"/>
      <c r="O6" s="267"/>
      <c r="P6" s="267"/>
    </row>
    <row r="7" spans="1:17" ht="17.25" customHeight="1">
      <c r="A7" s="257" t="s">
        <v>41</v>
      </c>
      <c r="B7" s="257"/>
      <c r="C7" s="257"/>
      <c r="D7" s="257"/>
      <c r="E7" s="257"/>
      <c r="F7" s="105" t="s">
        <v>45</v>
      </c>
      <c r="G7" s="68"/>
      <c r="H7" s="69"/>
      <c r="I7" s="70"/>
      <c r="J7" s="70"/>
      <c r="K7" s="70"/>
      <c r="L7" s="70"/>
      <c r="M7" s="70"/>
      <c r="N7" s="70"/>
      <c r="O7" s="70"/>
      <c r="P7" s="70"/>
    </row>
    <row r="8" spans="1:17" ht="15" customHeight="1">
      <c r="A8" s="257" t="s">
        <v>40</v>
      </c>
      <c r="B8" s="257"/>
      <c r="C8" s="257"/>
      <c r="D8" s="257"/>
      <c r="E8" s="257"/>
      <c r="F8" s="184" t="s">
        <v>141</v>
      </c>
      <c r="G8" s="68"/>
      <c r="H8" s="69"/>
      <c r="I8" s="70"/>
      <c r="J8" s="70"/>
      <c r="K8" s="70"/>
      <c r="L8" s="70"/>
      <c r="M8" s="70"/>
      <c r="N8" s="70"/>
      <c r="O8" s="70"/>
      <c r="P8" s="70"/>
    </row>
    <row r="9" spans="1:17" ht="15" customHeight="1">
      <c r="A9" s="160"/>
      <c r="B9" s="71"/>
      <c r="C9" s="71"/>
      <c r="D9" s="72"/>
      <c r="E9" s="71"/>
      <c r="F9" s="71"/>
      <c r="G9" s="68"/>
      <c r="H9" s="69"/>
      <c r="I9" s="70"/>
      <c r="J9" s="70"/>
      <c r="K9" s="70"/>
      <c r="L9" s="73"/>
      <c r="M9" s="70"/>
      <c r="N9" s="70"/>
      <c r="O9" s="70"/>
      <c r="P9" s="70"/>
    </row>
    <row r="10" spans="1:17" ht="15" customHeight="1">
      <c r="A10" s="258" t="s">
        <v>76</v>
      </c>
      <c r="B10" s="259"/>
      <c r="C10" s="259"/>
      <c r="D10" s="259"/>
      <c r="E10" s="260"/>
      <c r="F10" s="261" t="s">
        <v>75</v>
      </c>
      <c r="G10" s="252" t="s">
        <v>39</v>
      </c>
      <c r="H10" s="256" t="s">
        <v>38</v>
      </c>
      <c r="I10" s="252" t="s">
        <v>37</v>
      </c>
      <c r="J10" s="252"/>
      <c r="K10" s="252"/>
      <c r="L10" s="252"/>
      <c r="M10" s="252"/>
      <c r="N10" s="252"/>
      <c r="O10" s="252"/>
      <c r="P10" s="252" t="s">
        <v>36</v>
      </c>
      <c r="Q10" s="74"/>
    </row>
    <row r="11" spans="1:17" ht="15" customHeight="1">
      <c r="A11" s="253" t="s">
        <v>77</v>
      </c>
      <c r="B11" s="253" t="s">
        <v>78</v>
      </c>
      <c r="C11" s="253" t="s">
        <v>79</v>
      </c>
      <c r="D11" s="253" t="s">
        <v>80</v>
      </c>
      <c r="E11" s="253" t="s">
        <v>81</v>
      </c>
      <c r="F11" s="262"/>
      <c r="G11" s="252"/>
      <c r="H11" s="256"/>
      <c r="I11" s="252" t="s">
        <v>35</v>
      </c>
      <c r="J11" s="252"/>
      <c r="K11" s="252" t="s">
        <v>34</v>
      </c>
      <c r="L11" s="252"/>
      <c r="M11" s="252" t="s">
        <v>33</v>
      </c>
      <c r="N11" s="252"/>
      <c r="O11" s="252"/>
      <c r="P11" s="252"/>
      <c r="Q11" s="74"/>
    </row>
    <row r="12" spans="1:17" ht="15" customHeight="1">
      <c r="A12" s="254"/>
      <c r="B12" s="254"/>
      <c r="C12" s="254"/>
      <c r="D12" s="254"/>
      <c r="E12" s="254"/>
      <c r="F12" s="262"/>
      <c r="G12" s="252"/>
      <c r="H12" s="256"/>
      <c r="I12" s="243" t="s">
        <v>32</v>
      </c>
      <c r="J12" s="243"/>
      <c r="K12" s="243" t="s">
        <v>32</v>
      </c>
      <c r="L12" s="243"/>
      <c r="M12" s="243" t="s">
        <v>32</v>
      </c>
      <c r="N12" s="243" t="s">
        <v>31</v>
      </c>
      <c r="O12" s="104" t="s">
        <v>30</v>
      </c>
      <c r="P12" s="252"/>
      <c r="Q12" s="74"/>
    </row>
    <row r="13" spans="1:17" ht="15" customHeight="1">
      <c r="A13" s="255"/>
      <c r="B13" s="255"/>
      <c r="C13" s="255"/>
      <c r="D13" s="255"/>
      <c r="E13" s="255"/>
      <c r="F13" s="263"/>
      <c r="G13" s="252"/>
      <c r="H13" s="256"/>
      <c r="I13" s="104" t="s">
        <v>29</v>
      </c>
      <c r="J13" s="104" t="s">
        <v>28</v>
      </c>
      <c r="K13" s="104" t="s">
        <v>29</v>
      </c>
      <c r="L13" s="104" t="s">
        <v>28</v>
      </c>
      <c r="M13" s="104" t="s">
        <v>29</v>
      </c>
      <c r="N13" s="104" t="s">
        <v>28</v>
      </c>
      <c r="O13" s="104" t="s">
        <v>28</v>
      </c>
      <c r="P13" s="252"/>
      <c r="Q13" s="74"/>
    </row>
    <row r="14" spans="1:17" s="75" customFormat="1" ht="17.25" customHeight="1">
      <c r="A14" s="270">
        <v>1</v>
      </c>
      <c r="B14" s="271"/>
      <c r="C14" s="271"/>
      <c r="D14" s="271"/>
      <c r="E14" s="272"/>
      <c r="F14" s="185">
        <v>2</v>
      </c>
      <c r="G14" s="50">
        <v>3</v>
      </c>
      <c r="H14" s="194">
        <v>4</v>
      </c>
      <c r="I14" s="186">
        <v>5</v>
      </c>
      <c r="J14" s="186">
        <v>6</v>
      </c>
      <c r="K14" s="186">
        <v>8</v>
      </c>
      <c r="L14" s="186">
        <v>9</v>
      </c>
      <c r="M14" s="186">
        <v>11</v>
      </c>
      <c r="N14" s="186">
        <v>12</v>
      </c>
      <c r="O14" s="186">
        <v>13</v>
      </c>
      <c r="P14" s="186">
        <v>14</v>
      </c>
    </row>
    <row r="15" spans="1:17" s="49" customFormat="1" ht="23.25" customHeight="1">
      <c r="A15" s="36">
        <v>2</v>
      </c>
      <c r="B15" s="36">
        <v>8</v>
      </c>
      <c r="C15" s="36">
        <v>3</v>
      </c>
      <c r="D15" s="37"/>
      <c r="E15" s="36"/>
      <c r="F15" s="38" t="s">
        <v>85</v>
      </c>
      <c r="G15" s="47">
        <f>G16+G18</f>
        <v>69000000</v>
      </c>
      <c r="H15" s="40">
        <f t="shared" ref="H15:H34" si="0">+G15/$G$34*100%</f>
        <v>2.6053053077998309E-2</v>
      </c>
      <c r="I15" s="41">
        <f>I16+I18</f>
        <v>0</v>
      </c>
      <c r="J15" s="42">
        <f>I15/G15*100</f>
        <v>0</v>
      </c>
      <c r="K15" s="47">
        <f>K16+K18</f>
        <v>0</v>
      </c>
      <c r="L15" s="109">
        <f t="shared" ref="L15:L34" si="1">K15/G15*100</f>
        <v>0</v>
      </c>
      <c r="M15" s="39">
        <f>I15+K15</f>
        <v>0</v>
      </c>
      <c r="N15" s="43">
        <f>M15/G15*100</f>
        <v>0</v>
      </c>
      <c r="O15" s="44"/>
      <c r="P15" s="39">
        <f t="shared" ref="P15:P34" si="2">G15-M15</f>
        <v>69000000</v>
      </c>
    </row>
    <row r="16" spans="1:17" s="106" customFormat="1" ht="36" customHeight="1">
      <c r="A16" s="5">
        <v>2</v>
      </c>
      <c r="B16" s="5">
        <v>8</v>
      </c>
      <c r="C16" s="5">
        <v>3</v>
      </c>
      <c r="D16" s="6" t="s">
        <v>8</v>
      </c>
      <c r="E16" s="5"/>
      <c r="F16" s="7" t="s">
        <v>164</v>
      </c>
      <c r="G16" s="45">
        <f>G17</f>
        <v>48500000</v>
      </c>
      <c r="H16" s="9">
        <f t="shared" si="0"/>
        <v>1.8312653250477071E-2</v>
      </c>
      <c r="I16" s="10">
        <f>I17</f>
        <v>0</v>
      </c>
      <c r="J16" s="11">
        <f t="shared" ref="J16:J34" si="3">I16/G16*100</f>
        <v>0</v>
      </c>
      <c r="K16" s="45">
        <f>K17</f>
        <v>0</v>
      </c>
      <c r="L16" s="108">
        <f t="shared" si="1"/>
        <v>0</v>
      </c>
      <c r="M16" s="8">
        <f t="shared" ref="M16:M33" si="4">I16+K16</f>
        <v>0</v>
      </c>
      <c r="N16" s="12">
        <f t="shared" ref="N16:N34" si="5">M16/G16*100</f>
        <v>0</v>
      </c>
      <c r="O16" s="13"/>
      <c r="P16" s="8">
        <f t="shared" si="2"/>
        <v>48500000</v>
      </c>
    </row>
    <row r="17" spans="1:16" s="3" customFormat="1" ht="38.25" customHeight="1">
      <c r="A17" s="14">
        <v>2</v>
      </c>
      <c r="B17" s="14">
        <v>8</v>
      </c>
      <c r="C17" s="14">
        <v>3</v>
      </c>
      <c r="D17" s="15" t="s">
        <v>8</v>
      </c>
      <c r="E17" s="14">
        <v>1</v>
      </c>
      <c r="F17" s="16" t="s">
        <v>165</v>
      </c>
      <c r="G17" s="17">
        <v>48500000</v>
      </c>
      <c r="H17" s="18">
        <f t="shared" si="0"/>
        <v>1.8312653250477071E-2</v>
      </c>
      <c r="I17" s="19">
        <v>0</v>
      </c>
      <c r="J17" s="28">
        <f t="shared" si="3"/>
        <v>0</v>
      </c>
      <c r="K17" s="21">
        <v>0</v>
      </c>
      <c r="L17" s="20">
        <f t="shared" si="1"/>
        <v>0</v>
      </c>
      <c r="M17" s="30">
        <f t="shared" si="4"/>
        <v>0</v>
      </c>
      <c r="N17" s="29">
        <f t="shared" si="5"/>
        <v>0</v>
      </c>
      <c r="O17" s="22"/>
      <c r="P17" s="21">
        <f t="shared" si="2"/>
        <v>48500000</v>
      </c>
    </row>
    <row r="18" spans="1:16" s="106" customFormat="1" ht="36" customHeight="1">
      <c r="A18" s="5">
        <v>2</v>
      </c>
      <c r="B18" s="5">
        <v>8</v>
      </c>
      <c r="C18" s="5">
        <v>3</v>
      </c>
      <c r="D18" s="6" t="s">
        <v>14</v>
      </c>
      <c r="E18" s="5"/>
      <c r="F18" s="7" t="s">
        <v>166</v>
      </c>
      <c r="G18" s="45">
        <f>G19</f>
        <v>20500000</v>
      </c>
      <c r="H18" s="9">
        <f t="shared" si="0"/>
        <v>7.7403998275212367E-3</v>
      </c>
      <c r="I18" s="10">
        <f>I19</f>
        <v>0</v>
      </c>
      <c r="J18" s="11">
        <f t="shared" si="3"/>
        <v>0</v>
      </c>
      <c r="K18" s="45">
        <f>K19</f>
        <v>0</v>
      </c>
      <c r="L18" s="108">
        <f t="shared" si="1"/>
        <v>0</v>
      </c>
      <c r="M18" s="8">
        <f t="shared" si="4"/>
        <v>0</v>
      </c>
      <c r="N18" s="12">
        <f t="shared" si="5"/>
        <v>0</v>
      </c>
      <c r="O18" s="13"/>
      <c r="P18" s="8">
        <f t="shared" si="2"/>
        <v>20500000</v>
      </c>
    </row>
    <row r="19" spans="1:16" s="3" customFormat="1" ht="37.5" customHeight="1">
      <c r="A19" s="14">
        <v>2</v>
      </c>
      <c r="B19" s="14">
        <v>8</v>
      </c>
      <c r="C19" s="14">
        <v>3</v>
      </c>
      <c r="D19" s="15" t="s">
        <v>14</v>
      </c>
      <c r="E19" s="14">
        <v>2</v>
      </c>
      <c r="F19" s="16" t="s">
        <v>167</v>
      </c>
      <c r="G19" s="17">
        <f>20500000</f>
        <v>20500000</v>
      </c>
      <c r="H19" s="18">
        <f t="shared" si="0"/>
        <v>7.7403998275212367E-3</v>
      </c>
      <c r="I19" s="19">
        <v>0</v>
      </c>
      <c r="J19" s="28">
        <f t="shared" si="3"/>
        <v>0</v>
      </c>
      <c r="K19" s="21">
        <v>0</v>
      </c>
      <c r="L19" s="20">
        <f t="shared" si="1"/>
        <v>0</v>
      </c>
      <c r="M19" s="30">
        <f t="shared" si="4"/>
        <v>0</v>
      </c>
      <c r="N19" s="29">
        <f t="shared" si="5"/>
        <v>0</v>
      </c>
      <c r="O19" s="22"/>
      <c r="P19" s="21">
        <f t="shared" si="2"/>
        <v>20500000</v>
      </c>
    </row>
    <row r="20" spans="1:16" s="49" customFormat="1" ht="23.25" customHeight="1">
      <c r="A20" s="36">
        <v>2</v>
      </c>
      <c r="B20" s="36">
        <v>8</v>
      </c>
      <c r="C20" s="36">
        <v>7</v>
      </c>
      <c r="D20" s="37"/>
      <c r="E20" s="36"/>
      <c r="F20" s="38" t="s">
        <v>109</v>
      </c>
      <c r="G20" s="47">
        <f>G21+G23</f>
        <v>101520000</v>
      </c>
      <c r="H20" s="40">
        <f t="shared" ref="H20:H22" si="6">+G20/$G$34*100%</f>
        <v>3.8331970267802731E-2</v>
      </c>
      <c r="I20" s="41">
        <f>I21+I28</f>
        <v>0</v>
      </c>
      <c r="J20" s="42">
        <f>I20/G20*100</f>
        <v>0</v>
      </c>
      <c r="K20" s="47">
        <f>K21+K28</f>
        <v>0</v>
      </c>
      <c r="L20" s="109">
        <f t="shared" si="1"/>
        <v>0</v>
      </c>
      <c r="M20" s="39">
        <f t="shared" si="4"/>
        <v>0</v>
      </c>
      <c r="N20" s="43">
        <f t="shared" si="5"/>
        <v>0</v>
      </c>
      <c r="O20" s="44"/>
      <c r="P20" s="39">
        <f t="shared" si="2"/>
        <v>101520000</v>
      </c>
    </row>
    <row r="21" spans="1:16" s="106" customFormat="1" ht="34.5" customHeight="1">
      <c r="A21" s="5">
        <v>2</v>
      </c>
      <c r="B21" s="5">
        <v>8</v>
      </c>
      <c r="C21" s="5">
        <v>7</v>
      </c>
      <c r="D21" s="6" t="s">
        <v>8</v>
      </c>
      <c r="E21" s="5"/>
      <c r="F21" s="7" t="s">
        <v>168</v>
      </c>
      <c r="G21" s="45">
        <f>G22</f>
        <v>53000000</v>
      </c>
      <c r="H21" s="9">
        <f t="shared" si="6"/>
        <v>2.0011765407737834E-2</v>
      </c>
      <c r="I21" s="10">
        <f>I22</f>
        <v>0</v>
      </c>
      <c r="J21" s="11">
        <f t="shared" ref="J21:J22" si="7">I21/G21*100</f>
        <v>0</v>
      </c>
      <c r="K21" s="45">
        <f>K22</f>
        <v>0</v>
      </c>
      <c r="L21" s="108">
        <f t="shared" si="1"/>
        <v>0</v>
      </c>
      <c r="M21" s="8">
        <f t="shared" si="4"/>
        <v>0</v>
      </c>
      <c r="N21" s="12">
        <f t="shared" si="5"/>
        <v>0</v>
      </c>
      <c r="O21" s="13"/>
      <c r="P21" s="8">
        <f t="shared" si="2"/>
        <v>53000000</v>
      </c>
    </row>
    <row r="22" spans="1:16" s="3" customFormat="1" ht="36.75" customHeight="1">
      <c r="A22" s="14">
        <v>2</v>
      </c>
      <c r="B22" s="14">
        <v>8</v>
      </c>
      <c r="C22" s="14">
        <v>7</v>
      </c>
      <c r="D22" s="15" t="s">
        <v>8</v>
      </c>
      <c r="E22" s="14">
        <v>2</v>
      </c>
      <c r="F22" s="16" t="s">
        <v>169</v>
      </c>
      <c r="G22" s="17">
        <f>53000000</f>
        <v>53000000</v>
      </c>
      <c r="H22" s="18">
        <f t="shared" si="6"/>
        <v>2.0011765407737834E-2</v>
      </c>
      <c r="I22" s="19">
        <v>0</v>
      </c>
      <c r="J22" s="28">
        <f t="shared" si="7"/>
        <v>0</v>
      </c>
      <c r="K22" s="21">
        <v>0</v>
      </c>
      <c r="L22" s="20">
        <f t="shared" si="1"/>
        <v>0</v>
      </c>
      <c r="M22" s="30">
        <f t="shared" si="4"/>
        <v>0</v>
      </c>
      <c r="N22" s="29">
        <f t="shared" si="5"/>
        <v>0</v>
      </c>
      <c r="O22" s="22"/>
      <c r="P22" s="21">
        <f t="shared" si="2"/>
        <v>53000000</v>
      </c>
    </row>
    <row r="23" spans="1:16" s="106" customFormat="1" ht="48.75" customHeight="1">
      <c r="A23" s="5">
        <v>2</v>
      </c>
      <c r="B23" s="5">
        <v>8</v>
      </c>
      <c r="C23" s="5">
        <v>7</v>
      </c>
      <c r="D23" s="6" t="s">
        <v>14</v>
      </c>
      <c r="E23" s="5"/>
      <c r="F23" s="7" t="s">
        <v>170</v>
      </c>
      <c r="G23" s="45">
        <f>G24</f>
        <v>48520000</v>
      </c>
      <c r="H23" s="9">
        <f t="shared" ref="H23:H27" si="8">+G23/$G$34*100%</f>
        <v>1.8320204860064897E-2</v>
      </c>
      <c r="I23" s="10">
        <f>I24</f>
        <v>0</v>
      </c>
      <c r="J23" s="11">
        <f t="shared" ref="J23:J24" si="9">I23/G23*100</f>
        <v>0</v>
      </c>
      <c r="K23" s="45">
        <f>K24</f>
        <v>0</v>
      </c>
      <c r="L23" s="108">
        <f t="shared" si="1"/>
        <v>0</v>
      </c>
      <c r="M23" s="8">
        <f t="shared" si="4"/>
        <v>0</v>
      </c>
      <c r="N23" s="12">
        <f t="shared" si="5"/>
        <v>0</v>
      </c>
      <c r="O23" s="13"/>
      <c r="P23" s="8">
        <f t="shared" si="2"/>
        <v>48520000</v>
      </c>
    </row>
    <row r="24" spans="1:16" s="3" customFormat="1" ht="40.5" customHeight="1">
      <c r="A24" s="14">
        <v>2</v>
      </c>
      <c r="B24" s="14">
        <v>8</v>
      </c>
      <c r="C24" s="14">
        <v>7</v>
      </c>
      <c r="D24" s="15" t="s">
        <v>14</v>
      </c>
      <c r="E24" s="14">
        <v>8</v>
      </c>
      <c r="F24" s="191" t="s">
        <v>171</v>
      </c>
      <c r="G24" s="17">
        <f>48520000</f>
        <v>48520000</v>
      </c>
      <c r="H24" s="18">
        <f t="shared" si="8"/>
        <v>1.8320204860064897E-2</v>
      </c>
      <c r="I24" s="19">
        <v>0</v>
      </c>
      <c r="J24" s="28">
        <f t="shared" si="9"/>
        <v>0</v>
      </c>
      <c r="K24" s="21">
        <v>0</v>
      </c>
      <c r="L24" s="20">
        <f t="shared" si="1"/>
        <v>0</v>
      </c>
      <c r="M24" s="30">
        <f t="shared" si="4"/>
        <v>0</v>
      </c>
      <c r="N24" s="29">
        <f t="shared" si="5"/>
        <v>0</v>
      </c>
      <c r="O24" s="22"/>
      <c r="P24" s="21">
        <f t="shared" si="2"/>
        <v>48520000</v>
      </c>
    </row>
    <row r="25" spans="1:16" s="3" customFormat="1" ht="28.5" customHeight="1">
      <c r="A25" s="36">
        <v>2</v>
      </c>
      <c r="B25" s="36">
        <v>14</v>
      </c>
      <c r="C25" s="36">
        <v>4</v>
      </c>
      <c r="D25" s="37"/>
      <c r="E25" s="36"/>
      <c r="F25" s="193" t="s">
        <v>9</v>
      </c>
      <c r="G25" s="47">
        <f>G26</f>
        <v>200000000</v>
      </c>
      <c r="H25" s="40">
        <f t="shared" si="8"/>
        <v>7.5516095878255973E-2</v>
      </c>
      <c r="I25" s="41">
        <f>I26+I33</f>
        <v>0</v>
      </c>
      <c r="J25" s="42">
        <f>I25/G25*100</f>
        <v>0</v>
      </c>
      <c r="K25" s="47">
        <f>K26+K33</f>
        <v>0</v>
      </c>
      <c r="L25" s="109">
        <f t="shared" ref="L25:L26" si="10">K25/G25*100</f>
        <v>0</v>
      </c>
      <c r="M25" s="39">
        <f t="shared" ref="M25:M26" si="11">I25+K25</f>
        <v>0</v>
      </c>
      <c r="N25" s="43">
        <f t="shared" ref="N25:N27" si="12">M25/G25*100</f>
        <v>0</v>
      </c>
      <c r="O25" s="44"/>
      <c r="P25" s="39">
        <f t="shared" ref="P25:P26" si="13">G25-M25</f>
        <v>200000000</v>
      </c>
    </row>
    <row r="26" spans="1:16" s="3" customFormat="1" ht="36.75" customHeight="1">
      <c r="A26" s="5">
        <v>2</v>
      </c>
      <c r="B26" s="5">
        <v>14</v>
      </c>
      <c r="C26" s="5">
        <v>4</v>
      </c>
      <c r="D26" s="6" t="s">
        <v>8</v>
      </c>
      <c r="E26" s="5"/>
      <c r="F26" s="167" t="s">
        <v>172</v>
      </c>
      <c r="G26" s="45">
        <f>G27</f>
        <v>200000000</v>
      </c>
      <c r="H26" s="9">
        <f t="shared" si="8"/>
        <v>7.5516095878255973E-2</v>
      </c>
      <c r="I26" s="10">
        <f>I28</f>
        <v>0</v>
      </c>
      <c r="J26" s="11">
        <f t="shared" ref="J26" si="14">I26/G26*100</f>
        <v>0</v>
      </c>
      <c r="K26" s="45">
        <f>K28</f>
        <v>0</v>
      </c>
      <c r="L26" s="108">
        <f t="shared" si="10"/>
        <v>0</v>
      </c>
      <c r="M26" s="8">
        <f t="shared" si="11"/>
        <v>0</v>
      </c>
      <c r="N26" s="12">
        <f t="shared" si="12"/>
        <v>0</v>
      </c>
      <c r="O26" s="13"/>
      <c r="P26" s="8">
        <f t="shared" si="13"/>
        <v>200000000</v>
      </c>
    </row>
    <row r="27" spans="1:16" s="3" customFormat="1" ht="37.5" customHeight="1">
      <c r="A27" s="14">
        <v>2</v>
      </c>
      <c r="B27" s="14">
        <v>14</v>
      </c>
      <c r="C27" s="14">
        <v>4</v>
      </c>
      <c r="D27" s="15" t="s">
        <v>8</v>
      </c>
      <c r="E27" s="14">
        <v>17</v>
      </c>
      <c r="F27" s="166" t="s">
        <v>163</v>
      </c>
      <c r="G27" s="17">
        <v>200000000</v>
      </c>
      <c r="H27" s="18">
        <f t="shared" si="8"/>
        <v>7.5516095878255973E-2</v>
      </c>
      <c r="I27" s="192"/>
      <c r="J27" s="28"/>
      <c r="K27" s="164"/>
      <c r="L27" s="20"/>
      <c r="M27" s="30">
        <f>I27+K27</f>
        <v>0</v>
      </c>
      <c r="N27" s="29">
        <f t="shared" si="12"/>
        <v>0</v>
      </c>
      <c r="O27" s="165"/>
      <c r="P27" s="21">
        <f>G27-M27</f>
        <v>200000000</v>
      </c>
    </row>
    <row r="28" spans="1:16" s="49" customFormat="1" ht="23.25" customHeight="1">
      <c r="A28" s="36">
        <v>2</v>
      </c>
      <c r="B28" s="36">
        <v>8</v>
      </c>
      <c r="C28" s="36">
        <v>3</v>
      </c>
      <c r="D28" s="37"/>
      <c r="E28" s="36"/>
      <c r="F28" s="38" t="s">
        <v>83</v>
      </c>
      <c r="G28" s="46">
        <f>G29</f>
        <v>2095374000</v>
      </c>
      <c r="H28" s="40">
        <f t="shared" si="0"/>
        <v>0.79117231942402366</v>
      </c>
      <c r="I28" s="41">
        <f>I29</f>
        <v>0</v>
      </c>
      <c r="J28" s="42">
        <f t="shared" si="3"/>
        <v>0</v>
      </c>
      <c r="K28" s="46">
        <f>K29</f>
        <v>0</v>
      </c>
      <c r="L28" s="109">
        <f t="shared" si="1"/>
        <v>0</v>
      </c>
      <c r="M28" s="39">
        <f t="shared" si="4"/>
        <v>0</v>
      </c>
      <c r="N28" s="43">
        <f t="shared" si="5"/>
        <v>0</v>
      </c>
      <c r="O28" s="44"/>
      <c r="P28" s="39">
        <f t="shared" si="2"/>
        <v>2095374000</v>
      </c>
    </row>
    <row r="29" spans="1:16" s="106" customFormat="1" ht="39.75" customHeight="1">
      <c r="A29" s="5">
        <v>2</v>
      </c>
      <c r="B29" s="5">
        <v>8</v>
      </c>
      <c r="C29" s="5">
        <v>3</v>
      </c>
      <c r="D29" s="6" t="s">
        <v>7</v>
      </c>
      <c r="E29" s="5"/>
      <c r="F29" s="7" t="s">
        <v>173</v>
      </c>
      <c r="G29" s="45">
        <f>G30</f>
        <v>2095374000</v>
      </c>
      <c r="H29" s="9">
        <f t="shared" si="0"/>
        <v>0.79117231942402366</v>
      </c>
      <c r="I29" s="10">
        <f>I30</f>
        <v>0</v>
      </c>
      <c r="J29" s="11">
        <f t="shared" si="3"/>
        <v>0</v>
      </c>
      <c r="K29" s="45">
        <f>K30</f>
        <v>0</v>
      </c>
      <c r="L29" s="108">
        <f t="shared" si="1"/>
        <v>0</v>
      </c>
      <c r="M29" s="8">
        <f t="shared" si="4"/>
        <v>0</v>
      </c>
      <c r="N29" s="12">
        <f t="shared" si="5"/>
        <v>0</v>
      </c>
      <c r="O29" s="13"/>
      <c r="P29" s="8">
        <f t="shared" si="2"/>
        <v>2095374000</v>
      </c>
    </row>
    <row r="30" spans="1:16" s="3" customFormat="1" ht="39.75" customHeight="1">
      <c r="A30" s="14">
        <v>2</v>
      </c>
      <c r="B30" s="14">
        <v>8</v>
      </c>
      <c r="C30" s="14">
        <v>3</v>
      </c>
      <c r="D30" s="15" t="s">
        <v>7</v>
      </c>
      <c r="E30" s="14">
        <v>2</v>
      </c>
      <c r="F30" s="16" t="s">
        <v>74</v>
      </c>
      <c r="G30" s="17">
        <v>2095374000</v>
      </c>
      <c r="H30" s="18">
        <f t="shared" si="0"/>
        <v>0.79117231942402366</v>
      </c>
      <c r="I30" s="19">
        <v>0</v>
      </c>
      <c r="J30" s="28">
        <f t="shared" si="3"/>
        <v>0</v>
      </c>
      <c r="K30" s="21">
        <v>0</v>
      </c>
      <c r="L30" s="20">
        <f t="shared" si="1"/>
        <v>0</v>
      </c>
      <c r="M30" s="30">
        <f t="shared" si="4"/>
        <v>0</v>
      </c>
      <c r="N30" s="29">
        <f t="shared" si="5"/>
        <v>0</v>
      </c>
      <c r="O30" s="22"/>
      <c r="P30" s="21">
        <f t="shared" si="2"/>
        <v>2095374000</v>
      </c>
    </row>
    <row r="31" spans="1:16" s="49" customFormat="1" ht="23.25" customHeight="1">
      <c r="A31" s="36">
        <v>2</v>
      </c>
      <c r="B31" s="36">
        <v>8</v>
      </c>
      <c r="C31" s="36">
        <v>7</v>
      </c>
      <c r="D31" s="37"/>
      <c r="E31" s="36"/>
      <c r="F31" s="38" t="s">
        <v>84</v>
      </c>
      <c r="G31" s="46">
        <f>G32</f>
        <v>182548000</v>
      </c>
      <c r="H31" s="40">
        <f t="shared" si="0"/>
        <v>6.8926561351919352E-2</v>
      </c>
      <c r="I31" s="41">
        <f>I32</f>
        <v>0</v>
      </c>
      <c r="J31" s="42">
        <f t="shared" si="3"/>
        <v>0</v>
      </c>
      <c r="K31" s="46">
        <f>K32</f>
        <v>0</v>
      </c>
      <c r="L31" s="109">
        <f t="shared" si="1"/>
        <v>0</v>
      </c>
      <c r="M31" s="39">
        <f t="shared" si="4"/>
        <v>0</v>
      </c>
      <c r="N31" s="43">
        <f t="shared" si="5"/>
        <v>0</v>
      </c>
      <c r="O31" s="44"/>
      <c r="P31" s="39">
        <f t="shared" si="2"/>
        <v>182548000</v>
      </c>
    </row>
    <row r="32" spans="1:16" s="106" customFormat="1" ht="32.25" customHeight="1">
      <c r="A32" s="5">
        <v>2</v>
      </c>
      <c r="B32" s="5">
        <v>8</v>
      </c>
      <c r="C32" s="5">
        <v>7</v>
      </c>
      <c r="D32" s="6" t="s">
        <v>7</v>
      </c>
      <c r="E32" s="5"/>
      <c r="F32" s="7" t="s">
        <v>1</v>
      </c>
      <c r="G32" s="45">
        <f>G33</f>
        <v>182548000</v>
      </c>
      <c r="H32" s="9">
        <f t="shared" si="0"/>
        <v>6.8926561351919352E-2</v>
      </c>
      <c r="I32" s="10">
        <f>I33</f>
        <v>0</v>
      </c>
      <c r="J32" s="11">
        <f t="shared" si="3"/>
        <v>0</v>
      </c>
      <c r="K32" s="45">
        <f>K33</f>
        <v>0</v>
      </c>
      <c r="L32" s="108">
        <f t="shared" si="1"/>
        <v>0</v>
      </c>
      <c r="M32" s="8">
        <f t="shared" si="4"/>
        <v>0</v>
      </c>
      <c r="N32" s="12">
        <f t="shared" si="5"/>
        <v>0</v>
      </c>
      <c r="O32" s="13"/>
      <c r="P32" s="8">
        <f t="shared" si="2"/>
        <v>182548000</v>
      </c>
    </row>
    <row r="33" spans="1:20" s="3" customFormat="1" ht="30.75" customHeight="1">
      <c r="A33" s="14">
        <v>2</v>
      </c>
      <c r="B33" s="14">
        <v>8</v>
      </c>
      <c r="C33" s="14">
        <v>7</v>
      </c>
      <c r="D33" s="15" t="s">
        <v>7</v>
      </c>
      <c r="E33" s="14">
        <v>6</v>
      </c>
      <c r="F33" s="168" t="s">
        <v>131</v>
      </c>
      <c r="G33" s="17">
        <v>182548000</v>
      </c>
      <c r="H33" s="18">
        <f t="shared" si="0"/>
        <v>6.8926561351919352E-2</v>
      </c>
      <c r="I33" s="19">
        <v>0</v>
      </c>
      <c r="J33" s="28">
        <f t="shared" si="3"/>
        <v>0</v>
      </c>
      <c r="K33" s="21">
        <v>0</v>
      </c>
      <c r="L33" s="20">
        <f t="shared" si="1"/>
        <v>0</v>
      </c>
      <c r="M33" s="30">
        <f t="shared" si="4"/>
        <v>0</v>
      </c>
      <c r="N33" s="29">
        <f t="shared" si="5"/>
        <v>0</v>
      </c>
      <c r="O33" s="22"/>
      <c r="P33" s="21">
        <f t="shared" si="2"/>
        <v>182548000</v>
      </c>
    </row>
    <row r="34" spans="1:20" s="58" customFormat="1" ht="23.25" customHeight="1">
      <c r="A34" s="50"/>
      <c r="B34" s="50"/>
      <c r="C34" s="50"/>
      <c r="D34" s="51"/>
      <c r="E34" s="52"/>
      <c r="F34" s="53" t="s">
        <v>48</v>
      </c>
      <c r="G34" s="54">
        <f>G16+G18+G21+G23+G26+G29+G32</f>
        <v>2648442000</v>
      </c>
      <c r="H34" s="114">
        <f t="shared" si="0"/>
        <v>1</v>
      </c>
      <c r="I34" s="54">
        <f>I15+I20+I28+I31</f>
        <v>0</v>
      </c>
      <c r="J34" s="55">
        <f t="shared" si="3"/>
        <v>0</v>
      </c>
      <c r="K34" s="54">
        <f>K15+K20+K28+K31</f>
        <v>0</v>
      </c>
      <c r="L34" s="115">
        <f t="shared" si="1"/>
        <v>0</v>
      </c>
      <c r="M34" s="54">
        <f>M15+M20+M28+M31</f>
        <v>0</v>
      </c>
      <c r="N34" s="56">
        <f t="shared" si="5"/>
        <v>0</v>
      </c>
      <c r="O34" s="57"/>
      <c r="P34" s="116">
        <f t="shared" si="2"/>
        <v>2648442000</v>
      </c>
    </row>
    <row r="35" spans="1:20" s="3" customFormat="1">
      <c r="A35" s="161"/>
      <c r="B35" s="78"/>
      <c r="C35" s="78"/>
      <c r="D35" s="31"/>
      <c r="E35" s="32"/>
      <c r="F35" s="33"/>
      <c r="G35" s="34"/>
      <c r="H35" s="79"/>
      <c r="I35" s="80" t="s">
        <v>0</v>
      </c>
      <c r="J35" s="80"/>
      <c r="K35" s="80"/>
      <c r="L35" s="80"/>
      <c r="M35" s="80"/>
      <c r="N35" s="80"/>
      <c r="O35" s="81"/>
      <c r="P35" s="80"/>
    </row>
    <row r="36" spans="1:20" s="3" customFormat="1" ht="17.25" customHeight="1">
      <c r="A36" s="162"/>
      <c r="B36" s="82"/>
      <c r="C36" s="78"/>
      <c r="D36" s="83"/>
      <c r="E36" s="80"/>
      <c r="F36" s="80"/>
      <c r="G36" s="117"/>
      <c r="H36" s="79"/>
      <c r="I36" s="84"/>
      <c r="J36" s="80"/>
      <c r="K36" s="80"/>
      <c r="L36" s="80"/>
      <c r="M36" s="250"/>
      <c r="N36" s="250"/>
      <c r="O36" s="250"/>
      <c r="P36" s="85" t="s">
        <v>0</v>
      </c>
    </row>
    <row r="37" spans="1:20" s="3" customFormat="1" ht="18" customHeight="1">
      <c r="A37" s="162"/>
      <c r="B37" s="82"/>
      <c r="C37" s="78"/>
      <c r="D37" s="83"/>
      <c r="E37" s="32"/>
      <c r="F37" s="32"/>
      <c r="G37" s="86"/>
      <c r="H37" s="79"/>
      <c r="I37" s="80"/>
      <c r="J37" s="80"/>
      <c r="K37" s="80"/>
      <c r="L37" s="80"/>
      <c r="M37" s="244" t="s">
        <v>140</v>
      </c>
      <c r="N37" s="244"/>
      <c r="O37" s="244"/>
      <c r="P37" s="87"/>
    </row>
    <row r="38" spans="1:20" s="3" customFormat="1">
      <c r="A38" s="129"/>
      <c r="B38" s="88"/>
      <c r="C38" s="89"/>
      <c r="D38" s="90"/>
      <c r="E38" s="1"/>
      <c r="F38" s="1"/>
      <c r="G38" s="1"/>
      <c r="H38" s="91"/>
      <c r="I38" s="1"/>
      <c r="M38" s="250" t="s">
        <v>139</v>
      </c>
      <c r="N38" s="250"/>
      <c r="O38" s="250"/>
    </row>
    <row r="39" spans="1:20" s="3" customFormat="1">
      <c r="A39" s="129"/>
      <c r="B39" s="88"/>
      <c r="C39" s="89"/>
      <c r="D39" s="90"/>
      <c r="E39" s="1"/>
      <c r="F39" s="1"/>
      <c r="G39" s="2"/>
      <c r="H39" s="91"/>
      <c r="I39" s="1"/>
      <c r="M39" s="251"/>
      <c r="N39" s="251"/>
      <c r="O39" s="251"/>
    </row>
    <row r="40" spans="1:20" s="3" customFormat="1" ht="15" customHeight="1">
      <c r="A40" s="129"/>
      <c r="B40" s="88"/>
      <c r="C40" s="89"/>
      <c r="D40" s="90"/>
      <c r="E40" s="1"/>
      <c r="F40" s="1"/>
      <c r="G40" s="1"/>
      <c r="H40" s="91"/>
      <c r="I40" s="1"/>
      <c r="M40" s="246"/>
      <c r="N40" s="246"/>
      <c r="O40" s="246"/>
    </row>
    <row r="41" spans="1:20" s="3" customFormat="1" ht="15" customHeight="1">
      <c r="A41" s="129" t="s">
        <v>0</v>
      </c>
      <c r="B41" s="88"/>
      <c r="C41" s="89"/>
      <c r="D41" s="90"/>
      <c r="E41" s="1"/>
      <c r="F41" s="1"/>
      <c r="G41" s="92"/>
      <c r="H41" s="91"/>
      <c r="M41" s="245" t="s">
        <v>136</v>
      </c>
      <c r="N41" s="245"/>
      <c r="O41" s="245"/>
    </row>
    <row r="42" spans="1:20" s="64" customFormat="1">
      <c r="A42" s="163"/>
      <c r="B42" s="94"/>
      <c r="C42" s="95"/>
      <c r="D42" s="96"/>
      <c r="E42" s="93"/>
      <c r="F42" s="93"/>
      <c r="G42" s="97"/>
      <c r="H42" s="98"/>
      <c r="M42" s="242" t="s">
        <v>137</v>
      </c>
      <c r="N42" s="242"/>
      <c r="O42" s="242"/>
      <c r="Q42" s="59"/>
      <c r="R42" s="59"/>
      <c r="S42" s="59"/>
      <c r="T42" s="59"/>
    </row>
    <row r="43" spans="1:20" s="64" customFormat="1">
      <c r="A43" s="163"/>
      <c r="B43" s="94"/>
      <c r="C43" s="95"/>
      <c r="D43" s="96"/>
      <c r="E43" s="93"/>
      <c r="F43" s="93"/>
      <c r="G43" s="97"/>
      <c r="H43" s="98"/>
      <c r="M43" s="242" t="s">
        <v>138</v>
      </c>
      <c r="N43" s="242"/>
      <c r="O43" s="242"/>
      <c r="Q43" s="59"/>
      <c r="R43" s="59"/>
      <c r="S43" s="59"/>
      <c r="T43" s="59"/>
    </row>
    <row r="44" spans="1:20" s="64" customFormat="1">
      <c r="A44" s="163"/>
      <c r="B44" s="94"/>
      <c r="C44" s="95"/>
      <c r="D44" s="96"/>
      <c r="E44" s="93"/>
      <c r="F44" s="93"/>
      <c r="G44" s="97"/>
      <c r="H44" s="98"/>
      <c r="M44" s="242"/>
      <c r="N44" s="242"/>
      <c r="O44" s="242"/>
      <c r="Q44" s="59"/>
      <c r="R44" s="59"/>
      <c r="S44" s="59"/>
      <c r="T44" s="59"/>
    </row>
    <row r="45" spans="1:20" s="64" customFormat="1">
      <c r="A45" s="163"/>
      <c r="B45" s="94"/>
      <c r="C45" s="95"/>
      <c r="D45" s="96"/>
      <c r="E45" s="93"/>
      <c r="F45" s="93"/>
      <c r="G45" s="97"/>
      <c r="H45" s="98"/>
      <c r="Q45" s="59"/>
      <c r="R45" s="59"/>
      <c r="S45" s="59"/>
      <c r="T45" s="59"/>
    </row>
  </sheetData>
  <mergeCells count="35">
    <mergeCell ref="M40:O40"/>
    <mergeCell ref="M41:O41"/>
    <mergeCell ref="I12:J12"/>
    <mergeCell ref="K12:L12"/>
    <mergeCell ref="M12:N12"/>
    <mergeCell ref="M38:O38"/>
    <mergeCell ref="M39:O39"/>
    <mergeCell ref="M37:O37"/>
    <mergeCell ref="I10:O10"/>
    <mergeCell ref="P10:P13"/>
    <mergeCell ref="A11:A13"/>
    <mergeCell ref="B11:B13"/>
    <mergeCell ref="C11:C13"/>
    <mergeCell ref="D11:D13"/>
    <mergeCell ref="E11:E13"/>
    <mergeCell ref="I11:J11"/>
    <mergeCell ref="K11:L11"/>
    <mergeCell ref="M11:O11"/>
    <mergeCell ref="H10:H13"/>
    <mergeCell ref="M42:O42"/>
    <mergeCell ref="M44:O44"/>
    <mergeCell ref="M43:O43"/>
    <mergeCell ref="A1:P1"/>
    <mergeCell ref="A2:P2"/>
    <mergeCell ref="A3:P3"/>
    <mergeCell ref="A5:E5"/>
    <mergeCell ref="A6:E6"/>
    <mergeCell ref="F6:P6"/>
    <mergeCell ref="A7:E7"/>
    <mergeCell ref="A8:E8"/>
    <mergeCell ref="A10:E10"/>
    <mergeCell ref="F10:F13"/>
    <mergeCell ref="G10:G13"/>
    <mergeCell ref="A14:E14"/>
    <mergeCell ref="M36:O36"/>
  </mergeCells>
  <pageMargins left="0.7" right="0.7" top="0.75" bottom="0.75" header="0.3" footer="0.3"/>
  <pageSetup paperSize="5" scale="22" orientation="landscape" horizontalDpi="4294967292" verticalDpi="4294967295" r:id="rId1"/>
  <rowBreaks count="1" manualBreakCount="1">
    <brk id="44"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Januari</vt:lpstr>
      <vt:lpstr>Februari</vt:lpstr>
      <vt:lpstr>Maret</vt:lpstr>
      <vt:lpstr>April</vt:lpstr>
      <vt:lpstr>Mei</vt:lpstr>
      <vt:lpstr>Juni</vt:lpstr>
      <vt:lpstr>Juli</vt:lpstr>
      <vt:lpstr>Agustus</vt:lpstr>
      <vt:lpstr>Januari DAK</vt:lpstr>
      <vt:lpstr>Februari DAK</vt:lpstr>
      <vt:lpstr>Maret DAK</vt:lpstr>
      <vt:lpstr>April DAK</vt:lpstr>
      <vt:lpstr>Mei DAK</vt:lpstr>
      <vt:lpstr>Juni DAK</vt:lpstr>
      <vt:lpstr>Juli DAK</vt:lpstr>
      <vt:lpstr>Agustus DAK</vt:lpstr>
      <vt:lpstr>Agustus!Print_Area</vt:lpstr>
      <vt:lpstr>'Agustus DAK'!Print_Area</vt:lpstr>
      <vt:lpstr>April!Print_Area</vt:lpstr>
      <vt:lpstr>'April DAK'!Print_Area</vt:lpstr>
      <vt:lpstr>Februari!Print_Area</vt:lpstr>
      <vt:lpstr>'Februari DAK'!Print_Area</vt:lpstr>
      <vt:lpstr>Januari!Print_Area</vt:lpstr>
      <vt:lpstr>'Januari DAK'!Print_Area</vt:lpstr>
      <vt:lpstr>Juli!Print_Area</vt:lpstr>
      <vt:lpstr>'Juli DAK'!Print_Area</vt:lpstr>
      <vt:lpstr>Juni!Print_Area</vt:lpstr>
      <vt:lpstr>'Juni DAK'!Print_Area</vt:lpstr>
      <vt:lpstr>Maret!Print_Area</vt:lpstr>
      <vt:lpstr>'Maret DAK'!Print_Area</vt:lpstr>
      <vt:lpstr>Mei!Print_Area</vt:lpstr>
      <vt:lpstr>'Mei DAK'!Print_Area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BP3AKB</dc:creator>
  <cp:lastModifiedBy>LENOVO</cp:lastModifiedBy>
  <cp:lastPrinted>2025-07-22T00:53:32Z</cp:lastPrinted>
  <dcterms:created xsi:type="dcterms:W3CDTF">2021-04-05T06:38:45Z</dcterms:created>
  <dcterms:modified xsi:type="dcterms:W3CDTF">2025-08-03T09:54:42Z</dcterms:modified>
</cp:coreProperties>
</file>